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預算\預算\預算分配\112年度預算分配\行政單位調查表\"/>
    </mc:Choice>
  </mc:AlternateContent>
  <xr:revisionPtr revIDLastSave="0" documentId="13_ncr:1_{10E5BEA5-4396-4CE2-90B1-13E3978CA33C}" xr6:coauthVersionLast="47" xr6:coauthVersionMax="47" xr10:uidLastSave="{00000000-0000-0000-0000-000000000000}"/>
  <bookViews>
    <workbookView xWindow="-120" yWindow="-120" windowWidth="29040" windowHeight="15840" activeTab="1" xr2:uid="{00000000-000D-0000-FFFF-FFFF00000000}"/>
  </bookViews>
  <sheets>
    <sheet name="調查表" sheetId="1" r:id="rId1"/>
    <sheet name="111年度行政單位預算分配表" sheetId="7" r:id="rId2"/>
  </sheets>
  <definedNames>
    <definedName name="_xlnm.Print_Titles" localSheetId="1">'111年度行政單位預算分配表'!$2:$6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2" i="7" l="1"/>
  <c r="K132" i="7"/>
  <c r="J132" i="7"/>
  <c r="H132" i="7"/>
  <c r="G132" i="7"/>
  <c r="F132" i="7"/>
  <c r="E132" i="7"/>
  <c r="F75" i="7"/>
  <c r="L75" i="7" s="1"/>
  <c r="AA75" i="7" s="1"/>
  <c r="K75" i="7"/>
  <c r="J75" i="7"/>
  <c r="F71" i="7"/>
  <c r="L71" i="7" s="1"/>
  <c r="K71" i="7"/>
  <c r="J71" i="7"/>
  <c r="F63" i="7"/>
  <c r="K62" i="7"/>
  <c r="J62" i="7"/>
  <c r="F62" i="7"/>
  <c r="L62" i="7" s="1"/>
  <c r="F61" i="7"/>
  <c r="L61" i="7" s="1"/>
  <c r="K61" i="7"/>
  <c r="J61" i="7"/>
  <c r="F50" i="7"/>
  <c r="L50" i="7" s="1"/>
  <c r="K50" i="7"/>
  <c r="J50" i="7"/>
  <c r="F49" i="7" l="1"/>
  <c r="L49" i="7" s="1"/>
  <c r="K49" i="7"/>
  <c r="J49" i="7"/>
  <c r="F48" i="7"/>
  <c r="L48" i="7" s="1"/>
  <c r="K48" i="7"/>
  <c r="J48" i="7"/>
  <c r="F47" i="7"/>
  <c r="L47" i="7" s="1"/>
  <c r="K47" i="7"/>
  <c r="J47" i="7"/>
  <c r="F46" i="7"/>
  <c r="L46" i="7" s="1"/>
  <c r="K46" i="7"/>
  <c r="J46" i="7"/>
  <c r="D120" i="7" l="1"/>
  <c r="E120" i="7"/>
  <c r="N120" i="7"/>
  <c r="O120" i="7"/>
  <c r="W120" i="7"/>
  <c r="AC120" i="7"/>
  <c r="AD120" i="7"/>
  <c r="AF120" i="7"/>
  <c r="AO120" i="7"/>
  <c r="AP120" i="7"/>
  <c r="AZ120" i="7"/>
  <c r="BF120" i="7" s="1"/>
  <c r="BA120" i="7"/>
  <c r="BG120" i="7" s="1"/>
  <c r="BJ120" i="7"/>
  <c r="BP120" i="7" s="1"/>
  <c r="BK120" i="7"/>
  <c r="BQ120" i="7" s="1"/>
  <c r="K88" i="7"/>
  <c r="K89" i="7"/>
  <c r="K86" i="7"/>
  <c r="J88" i="7"/>
  <c r="J89" i="7"/>
  <c r="J86" i="7"/>
  <c r="F88" i="7"/>
  <c r="L88" i="7" s="1"/>
  <c r="F89" i="7"/>
  <c r="L89" i="7" s="1"/>
  <c r="F86" i="7"/>
  <c r="L86" i="7" s="1"/>
  <c r="F87" i="7"/>
  <c r="L87" i="7" s="1"/>
  <c r="K87" i="7"/>
  <c r="J87" i="7"/>
  <c r="E51" i="7"/>
  <c r="D51" i="7"/>
  <c r="K45" i="7"/>
  <c r="J45" i="7"/>
  <c r="F45" i="7"/>
  <c r="L45" i="7" s="1"/>
  <c r="K44" i="7"/>
  <c r="J44" i="7"/>
  <c r="F44" i="7"/>
  <c r="L44" i="7" s="1"/>
  <c r="K43" i="7"/>
  <c r="J43" i="7"/>
  <c r="K42" i="7"/>
  <c r="J42" i="7"/>
  <c r="F43" i="7"/>
  <c r="L43" i="7" s="1"/>
  <c r="F42" i="7"/>
  <c r="L42" i="7" s="1"/>
  <c r="F32" i="7" l="1"/>
  <c r="L32" i="7" s="1"/>
  <c r="J32" i="7"/>
  <c r="K32" i="7"/>
  <c r="P32" i="7"/>
  <c r="V32" i="7" s="1"/>
  <c r="T32" i="7"/>
  <c r="X32" i="7" s="1"/>
  <c r="U32" i="7"/>
  <c r="Y32" i="7" s="1"/>
  <c r="AE32" i="7"/>
  <c r="AL32" i="7" s="1"/>
  <c r="AJ32" i="7"/>
  <c r="AK32" i="7"/>
  <c r="AQ32" i="7"/>
  <c r="AW32" i="7" s="1"/>
  <c r="AU32" i="7"/>
  <c r="AV32" i="7"/>
  <c r="AX32" i="7" l="1"/>
  <c r="Z32" i="7"/>
  <c r="AA32" i="7" s="1"/>
  <c r="AM32" i="7"/>
  <c r="H17" i="7" l="1"/>
  <c r="W131" i="7" l="1"/>
  <c r="R131" i="7"/>
  <c r="Q131" i="7"/>
  <c r="O131" i="7"/>
  <c r="N131" i="7"/>
  <c r="H131" i="7"/>
  <c r="G131" i="7"/>
  <c r="E131" i="7"/>
  <c r="D131" i="7"/>
  <c r="U130" i="7"/>
  <c r="U131" i="7" s="1"/>
  <c r="T130" i="7"/>
  <c r="S130" i="7"/>
  <c r="S131" i="7" s="1"/>
  <c r="P130" i="7"/>
  <c r="K130" i="7"/>
  <c r="K131" i="7" s="1"/>
  <c r="J130" i="7"/>
  <c r="J131" i="7" s="1"/>
  <c r="I130" i="7"/>
  <c r="I131" i="7" s="1"/>
  <c r="F130" i="7"/>
  <c r="BN129" i="7"/>
  <c r="BM129" i="7"/>
  <c r="BK129" i="7"/>
  <c r="BJ129" i="7"/>
  <c r="BD129" i="7"/>
  <c r="BC129" i="7"/>
  <c r="BA129" i="7"/>
  <c r="AZ129" i="7"/>
  <c r="AP129" i="7"/>
  <c r="AO129" i="7"/>
  <c r="AH129" i="7"/>
  <c r="AG129" i="7"/>
  <c r="AF129" i="7"/>
  <c r="AD129" i="7"/>
  <c r="AC129" i="7"/>
  <c r="W129" i="7"/>
  <c r="O129" i="7"/>
  <c r="N129" i="7"/>
  <c r="E129" i="7"/>
  <c r="D129" i="7"/>
  <c r="BQ128" i="7"/>
  <c r="BP128" i="7"/>
  <c r="BO128" i="7"/>
  <c r="BO129" i="7" s="1"/>
  <c r="BL128" i="7"/>
  <c r="BL129" i="7" s="1"/>
  <c r="BG128" i="7"/>
  <c r="BF128" i="7"/>
  <c r="BE128" i="7"/>
  <c r="BE129" i="7" s="1"/>
  <c r="BB128" i="7"/>
  <c r="BB129" i="7" s="1"/>
  <c r="AS128" i="7"/>
  <c r="AS129" i="7" s="1"/>
  <c r="AR128" i="7"/>
  <c r="AQ128" i="7"/>
  <c r="AK128" i="7"/>
  <c r="AK129" i="7" s="1"/>
  <c r="AJ128" i="7"/>
  <c r="AJ129" i="7" s="1"/>
  <c r="AI128" i="7"/>
  <c r="AI129" i="7" s="1"/>
  <c r="AE128" i="7"/>
  <c r="AE129" i="7" s="1"/>
  <c r="R128" i="7"/>
  <c r="R129" i="7" s="1"/>
  <c r="Q128" i="7"/>
  <c r="P128" i="7"/>
  <c r="H128" i="7"/>
  <c r="H129" i="7" s="1"/>
  <c r="G128" i="7"/>
  <c r="G129" i="7" s="1"/>
  <c r="F128" i="7"/>
  <c r="BK127" i="7"/>
  <c r="BQ127" i="7" s="1"/>
  <c r="BJ127" i="7"/>
  <c r="BP127" i="7" s="1"/>
  <c r="BE127" i="7"/>
  <c r="BD127" i="7"/>
  <c r="BC127" i="7"/>
  <c r="BA127" i="7"/>
  <c r="AP127" i="7"/>
  <c r="AF127" i="7"/>
  <c r="AD127" i="7"/>
  <c r="AC127" i="7"/>
  <c r="W127" i="7"/>
  <c r="O127" i="7"/>
  <c r="N127" i="7"/>
  <c r="E127" i="7"/>
  <c r="D127" i="7"/>
  <c r="U126" i="7"/>
  <c r="Y126" i="7" s="1"/>
  <c r="T126" i="7"/>
  <c r="X126" i="7" s="1"/>
  <c r="P126" i="7"/>
  <c r="V126" i="7" s="1"/>
  <c r="AM126" i="7" s="1"/>
  <c r="K126" i="7"/>
  <c r="J126" i="7"/>
  <c r="F126" i="7"/>
  <c r="L126" i="7" s="1"/>
  <c r="BF125" i="7"/>
  <c r="BB125" i="7"/>
  <c r="BH125" i="7" s="1"/>
  <c r="AV125" i="7"/>
  <c r="AU125" i="7"/>
  <c r="AQ125" i="7"/>
  <c r="AW125" i="7" s="1"/>
  <c r="AK125" i="7"/>
  <c r="AJ125" i="7"/>
  <c r="AE125" i="7"/>
  <c r="AL125" i="7" s="1"/>
  <c r="U125" i="7"/>
  <c r="Y125" i="7" s="1"/>
  <c r="T125" i="7"/>
  <c r="X125" i="7" s="1"/>
  <c r="P125" i="7"/>
  <c r="V125" i="7" s="1"/>
  <c r="K125" i="7"/>
  <c r="J125" i="7"/>
  <c r="F125" i="7"/>
  <c r="L125" i="7" s="1"/>
  <c r="BQ124" i="7"/>
  <c r="BP124" i="7"/>
  <c r="BL124" i="7"/>
  <c r="BR124" i="7" s="1"/>
  <c r="BG124" i="7"/>
  <c r="AZ124" i="7"/>
  <c r="AV124" i="7"/>
  <c r="AO124" i="7"/>
  <c r="AK124" i="7"/>
  <c r="AJ124" i="7"/>
  <c r="AE124" i="7"/>
  <c r="AL124" i="7" s="1"/>
  <c r="U124" i="7"/>
  <c r="Y124" i="7" s="1"/>
  <c r="T124" i="7"/>
  <c r="X124" i="7" s="1"/>
  <c r="P124" i="7"/>
  <c r="V124" i="7" s="1"/>
  <c r="K124" i="7"/>
  <c r="J124" i="7"/>
  <c r="F124" i="7"/>
  <c r="L124" i="7" s="1"/>
  <c r="BQ123" i="7"/>
  <c r="BP123" i="7"/>
  <c r="BL123" i="7"/>
  <c r="BR123" i="7" s="1"/>
  <c r="BG123" i="7"/>
  <c r="BF123" i="7"/>
  <c r="BB123" i="7"/>
  <c r="BH123" i="7" s="1"/>
  <c r="AV123" i="7"/>
  <c r="AO123" i="7"/>
  <c r="AK123" i="7"/>
  <c r="AJ123" i="7"/>
  <c r="AE123" i="7"/>
  <c r="AL123" i="7" s="1"/>
  <c r="U123" i="7"/>
  <c r="Y123" i="7" s="1"/>
  <c r="T123" i="7"/>
  <c r="X123" i="7" s="1"/>
  <c r="P123" i="7"/>
  <c r="K123" i="7"/>
  <c r="J123" i="7"/>
  <c r="F123" i="7"/>
  <c r="BK122" i="7"/>
  <c r="BJ122" i="7"/>
  <c r="BP122" i="7" s="1"/>
  <c r="BA122" i="7"/>
  <c r="BG122" i="7" s="1"/>
  <c r="AP122" i="7"/>
  <c r="AO122" i="7"/>
  <c r="AF122" i="7"/>
  <c r="AD122" i="7"/>
  <c r="AC122" i="7"/>
  <c r="W122" i="7"/>
  <c r="O122" i="7"/>
  <c r="N122" i="7"/>
  <c r="E122" i="7"/>
  <c r="D122" i="7"/>
  <c r="BQ121" i="7"/>
  <c r="BP121" i="7"/>
  <c r="BL121" i="7"/>
  <c r="BR121" i="7" s="1"/>
  <c r="BG121" i="7"/>
  <c r="AZ121" i="7"/>
  <c r="BF121" i="7" s="1"/>
  <c r="AV121" i="7"/>
  <c r="AV122" i="7" s="1"/>
  <c r="AU121" i="7"/>
  <c r="AU122" i="7" s="1"/>
  <c r="AQ121" i="7"/>
  <c r="AW121" i="7" s="1"/>
  <c r="AW122" i="7" s="1"/>
  <c r="AK121" i="7"/>
  <c r="AK122" i="7" s="1"/>
  <c r="AJ121" i="7"/>
  <c r="AJ122" i="7" s="1"/>
  <c r="AE121" i="7"/>
  <c r="AE122" i="7" s="1"/>
  <c r="U121" i="7"/>
  <c r="U122" i="7" s="1"/>
  <c r="T121" i="7"/>
  <c r="T122" i="7" s="1"/>
  <c r="P121" i="7"/>
  <c r="V121" i="7" s="1"/>
  <c r="K121" i="7"/>
  <c r="K122" i="7" s="1"/>
  <c r="J121" i="7"/>
  <c r="J122" i="7" s="1"/>
  <c r="F121" i="7"/>
  <c r="F122" i="7" s="1"/>
  <c r="K119" i="7"/>
  <c r="J119" i="7"/>
  <c r="F119" i="7"/>
  <c r="L119" i="7" s="1"/>
  <c r="AA119" i="7" s="1"/>
  <c r="BQ118" i="7"/>
  <c r="BP118" i="7"/>
  <c r="BL118" i="7"/>
  <c r="BL120" i="7" s="1"/>
  <c r="BR120" i="7" s="1"/>
  <c r="BG118" i="7"/>
  <c r="BF118" i="7"/>
  <c r="BB118" i="7"/>
  <c r="BB120" i="7" s="1"/>
  <c r="BH120" i="7" s="1"/>
  <c r="AV118" i="7"/>
  <c r="AV120" i="7" s="1"/>
  <c r="AU118" i="7"/>
  <c r="AU120" i="7" s="1"/>
  <c r="AQ118" i="7"/>
  <c r="AQ120" i="7" s="1"/>
  <c r="AK118" i="7"/>
  <c r="AK120" i="7" s="1"/>
  <c r="AJ118" i="7"/>
  <c r="AJ120" i="7" s="1"/>
  <c r="AE118" i="7"/>
  <c r="AE120" i="7" s="1"/>
  <c r="U118" i="7"/>
  <c r="U120" i="7" s="1"/>
  <c r="T118" i="7"/>
  <c r="T120" i="7" s="1"/>
  <c r="P118" i="7"/>
  <c r="P120" i="7" s="1"/>
  <c r="K118" i="7"/>
  <c r="J118" i="7"/>
  <c r="F118" i="7"/>
  <c r="BN117" i="7"/>
  <c r="BM117" i="7"/>
  <c r="BK117" i="7"/>
  <c r="BJ117" i="7"/>
  <c r="BD117" i="7"/>
  <c r="BC117" i="7"/>
  <c r="BA117" i="7"/>
  <c r="AZ117" i="7"/>
  <c r="AP117" i="7"/>
  <c r="AO117" i="7"/>
  <c r="AG117" i="7"/>
  <c r="AF117" i="7"/>
  <c r="AD117" i="7"/>
  <c r="AC117" i="7"/>
  <c r="W117" i="7"/>
  <c r="O117" i="7"/>
  <c r="N117" i="7"/>
  <c r="E117" i="7"/>
  <c r="D117" i="7"/>
  <c r="BQ116" i="7"/>
  <c r="BP116" i="7"/>
  <c r="BO116" i="7"/>
  <c r="BL116" i="7"/>
  <c r="BG116" i="7"/>
  <c r="BF116" i="7"/>
  <c r="BE116" i="7"/>
  <c r="BB116" i="7"/>
  <c r="AS116" i="7"/>
  <c r="AV116" i="7" s="1"/>
  <c r="AR116" i="7"/>
  <c r="AQ116" i="7"/>
  <c r="AJ116" i="7"/>
  <c r="AH116" i="7"/>
  <c r="AE116" i="7"/>
  <c r="R116" i="7"/>
  <c r="U116" i="7" s="1"/>
  <c r="Y116" i="7" s="1"/>
  <c r="Q116" i="7"/>
  <c r="P116" i="7"/>
  <c r="H116" i="7"/>
  <c r="G116" i="7"/>
  <c r="J116" i="7" s="1"/>
  <c r="F116" i="7"/>
  <c r="BQ115" i="7"/>
  <c r="BP115" i="7"/>
  <c r="BO115" i="7"/>
  <c r="BL115" i="7"/>
  <c r="BG115" i="7"/>
  <c r="BF115" i="7"/>
  <c r="BE115" i="7"/>
  <c r="BB115" i="7"/>
  <c r="AS115" i="7"/>
  <c r="AV115" i="7" s="1"/>
  <c r="AR115" i="7"/>
  <c r="AU115" i="7" s="1"/>
  <c r="AQ115" i="7"/>
  <c r="AW115" i="7" s="1"/>
  <c r="AK115" i="7"/>
  <c r="AJ115" i="7"/>
  <c r="AI115" i="7"/>
  <c r="AE115" i="7"/>
  <c r="R115" i="7"/>
  <c r="U115" i="7" s="1"/>
  <c r="Y115" i="7" s="1"/>
  <c r="Q115" i="7"/>
  <c r="T115" i="7" s="1"/>
  <c r="X115" i="7" s="1"/>
  <c r="P115" i="7"/>
  <c r="H115" i="7"/>
  <c r="K115" i="7" s="1"/>
  <c r="G115" i="7"/>
  <c r="F115" i="7"/>
  <c r="BQ114" i="7"/>
  <c r="BP114" i="7"/>
  <c r="BO114" i="7"/>
  <c r="BL114" i="7"/>
  <c r="BG114" i="7"/>
  <c r="BF114" i="7"/>
  <c r="BE114" i="7"/>
  <c r="BB114" i="7"/>
  <c r="AS114" i="7"/>
  <c r="AR114" i="7"/>
  <c r="AU114" i="7" s="1"/>
  <c r="AQ114" i="7"/>
  <c r="AK114" i="7"/>
  <c r="AJ114" i="7"/>
  <c r="AI114" i="7"/>
  <c r="AE114" i="7"/>
  <c r="R114" i="7"/>
  <c r="U114" i="7" s="1"/>
  <c r="Y114" i="7" s="1"/>
  <c r="Q114" i="7"/>
  <c r="T114" i="7" s="1"/>
  <c r="X114" i="7" s="1"/>
  <c r="P114" i="7"/>
  <c r="H114" i="7"/>
  <c r="K114" i="7" s="1"/>
  <c r="G114" i="7"/>
  <c r="J114" i="7" s="1"/>
  <c r="F114" i="7"/>
  <c r="BQ113" i="7"/>
  <c r="BP113" i="7"/>
  <c r="BO113" i="7"/>
  <c r="BL113" i="7"/>
  <c r="BG113" i="7"/>
  <c r="BF113" i="7"/>
  <c r="BE113" i="7"/>
  <c r="BB113" i="7"/>
  <c r="AS113" i="7"/>
  <c r="AV113" i="7" s="1"/>
  <c r="AR113" i="7"/>
  <c r="AQ113" i="7"/>
  <c r="AJ113" i="7"/>
  <c r="AH113" i="7"/>
  <c r="AK113" i="7" s="1"/>
  <c r="AE113" i="7"/>
  <c r="R113" i="7"/>
  <c r="U113" i="7" s="1"/>
  <c r="Q113" i="7"/>
  <c r="P113" i="7"/>
  <c r="H113" i="7"/>
  <c r="G113" i="7"/>
  <c r="F113" i="7"/>
  <c r="BN112" i="7"/>
  <c r="BM112" i="7"/>
  <c r="BK112" i="7"/>
  <c r="BJ112" i="7"/>
  <c r="BD112" i="7"/>
  <c r="BC112" i="7"/>
  <c r="BA112" i="7"/>
  <c r="AZ112" i="7"/>
  <c r="AS112" i="7"/>
  <c r="AP112" i="7"/>
  <c r="AO112" i="7"/>
  <c r="AH112" i="7"/>
  <c r="AD112" i="7"/>
  <c r="AC112" i="7"/>
  <c r="W112" i="7"/>
  <c r="R112" i="7"/>
  <c r="O112" i="7"/>
  <c r="N112" i="7"/>
  <c r="H112" i="7"/>
  <c r="E112" i="7"/>
  <c r="D112" i="7"/>
  <c r="BQ111" i="7"/>
  <c r="BP111" i="7"/>
  <c r="BO111" i="7"/>
  <c r="BL111" i="7"/>
  <c r="BG111" i="7"/>
  <c r="BF111" i="7"/>
  <c r="BE111" i="7"/>
  <c r="BB111" i="7"/>
  <c r="AV111" i="7"/>
  <c r="AR111" i="7"/>
  <c r="AQ111" i="7"/>
  <c r="AK111" i="7"/>
  <c r="AJ111" i="7"/>
  <c r="AI111" i="7"/>
  <c r="AE111" i="7"/>
  <c r="U111" i="7"/>
  <c r="Y111" i="7" s="1"/>
  <c r="Q111" i="7"/>
  <c r="P111" i="7"/>
  <c r="K111" i="7"/>
  <c r="G111" i="7"/>
  <c r="I111" i="7" s="1"/>
  <c r="F111" i="7"/>
  <c r="BQ110" i="7"/>
  <c r="BP110" i="7"/>
  <c r="BO110" i="7"/>
  <c r="BL110" i="7"/>
  <c r="BG110" i="7"/>
  <c r="BF110" i="7"/>
  <c r="BE110" i="7"/>
  <c r="BB110" i="7"/>
  <c r="AV110" i="7"/>
  <c r="AR110" i="7"/>
  <c r="AT110" i="7" s="1"/>
  <c r="AQ110" i="7"/>
  <c r="AK110" i="7"/>
  <c r="AJ110" i="7"/>
  <c r="AI110" i="7"/>
  <c r="AE110" i="7"/>
  <c r="U110" i="7"/>
  <c r="Y110" i="7" s="1"/>
  <c r="Q110" i="7"/>
  <c r="S110" i="7" s="1"/>
  <c r="P110" i="7"/>
  <c r="K110" i="7"/>
  <c r="G110" i="7"/>
  <c r="I110" i="7" s="1"/>
  <c r="F110" i="7"/>
  <c r="BQ109" i="7"/>
  <c r="BP109" i="7"/>
  <c r="BO109" i="7"/>
  <c r="BL109" i="7"/>
  <c r="BG109" i="7"/>
  <c r="BF109" i="7"/>
  <c r="BE109" i="7"/>
  <c r="BB109" i="7"/>
  <c r="AV109" i="7"/>
  <c r="AR109" i="7"/>
  <c r="AT109" i="7" s="1"/>
  <c r="AQ109" i="7"/>
  <c r="AK109" i="7"/>
  <c r="AJ109" i="7"/>
  <c r="AI109" i="7"/>
  <c r="AE109" i="7"/>
  <c r="U109" i="7"/>
  <c r="Y109" i="7" s="1"/>
  <c r="Q109" i="7"/>
  <c r="S109" i="7" s="1"/>
  <c r="P109" i="7"/>
  <c r="K109" i="7"/>
  <c r="G109" i="7"/>
  <c r="F109" i="7"/>
  <c r="AF112" i="7"/>
  <c r="BQ108" i="7"/>
  <c r="BP108" i="7"/>
  <c r="BO108" i="7"/>
  <c r="BL108" i="7"/>
  <c r="BG108" i="7"/>
  <c r="BF108" i="7"/>
  <c r="BE108" i="7"/>
  <c r="BB108" i="7"/>
  <c r="AV108" i="7"/>
  <c r="AR108" i="7"/>
  <c r="AQ108" i="7"/>
  <c r="AK108" i="7"/>
  <c r="AJ108" i="7"/>
  <c r="AI108" i="7"/>
  <c r="AE108" i="7"/>
  <c r="U108" i="7"/>
  <c r="Y108" i="7" s="1"/>
  <c r="Q108" i="7"/>
  <c r="P108" i="7"/>
  <c r="K108" i="7"/>
  <c r="G108" i="7"/>
  <c r="I108" i="7" s="1"/>
  <c r="F108" i="7"/>
  <c r="BQ107" i="7"/>
  <c r="BP107" i="7"/>
  <c r="BO107" i="7"/>
  <c r="BL107" i="7"/>
  <c r="BG107" i="7"/>
  <c r="BF107" i="7"/>
  <c r="BE107" i="7"/>
  <c r="BB107" i="7"/>
  <c r="AV107" i="7"/>
  <c r="AR107" i="7"/>
  <c r="AU107" i="7" s="1"/>
  <c r="AQ107" i="7"/>
  <c r="AK107" i="7"/>
  <c r="AJ107" i="7"/>
  <c r="AI107" i="7"/>
  <c r="AE107" i="7"/>
  <c r="U107" i="7"/>
  <c r="Y107" i="7" s="1"/>
  <c r="Q107" i="7"/>
  <c r="P107" i="7"/>
  <c r="K107" i="7"/>
  <c r="G107" i="7"/>
  <c r="F107" i="7"/>
  <c r="BQ106" i="7"/>
  <c r="BP106" i="7"/>
  <c r="BO106" i="7"/>
  <c r="BL106" i="7"/>
  <c r="BG106" i="7"/>
  <c r="BF106" i="7"/>
  <c r="BE106" i="7"/>
  <c r="BB106" i="7"/>
  <c r="AV106" i="7"/>
  <c r="AR106" i="7"/>
  <c r="AU106" i="7" s="1"/>
  <c r="AQ106" i="7"/>
  <c r="AK106" i="7"/>
  <c r="AJ106" i="7"/>
  <c r="AI106" i="7"/>
  <c r="AE106" i="7"/>
  <c r="U106" i="7"/>
  <c r="Y106" i="7" s="1"/>
  <c r="Q106" i="7"/>
  <c r="S106" i="7" s="1"/>
  <c r="P106" i="7"/>
  <c r="K106" i="7"/>
  <c r="G106" i="7"/>
  <c r="F106" i="7"/>
  <c r="BK105" i="7"/>
  <c r="BQ105" i="7" s="1"/>
  <c r="BJ105" i="7"/>
  <c r="BP105" i="7" s="1"/>
  <c r="BA105" i="7"/>
  <c r="BG105" i="7" s="1"/>
  <c r="AZ105" i="7"/>
  <c r="BF105" i="7" s="1"/>
  <c r="AP105" i="7"/>
  <c r="AO105" i="7"/>
  <c r="AF105" i="7"/>
  <c r="AD105" i="7"/>
  <c r="AC105" i="7"/>
  <c r="W105" i="7"/>
  <c r="O105" i="7"/>
  <c r="N105" i="7"/>
  <c r="E105" i="7"/>
  <c r="D105" i="7"/>
  <c r="BQ104" i="7"/>
  <c r="BP104" i="7"/>
  <c r="BL104" i="7"/>
  <c r="BR104" i="7" s="1"/>
  <c r="BG104" i="7"/>
  <c r="BF104" i="7"/>
  <c r="BB104" i="7"/>
  <c r="BH104" i="7" s="1"/>
  <c r="AV104" i="7"/>
  <c r="AU104" i="7"/>
  <c r="AQ104" i="7"/>
  <c r="AW104" i="7" s="1"/>
  <c r="AK104" i="7"/>
  <c r="AJ104" i="7"/>
  <c r="AE104" i="7"/>
  <c r="AL104" i="7" s="1"/>
  <c r="U104" i="7"/>
  <c r="Y104" i="7" s="1"/>
  <c r="T104" i="7"/>
  <c r="X104" i="7" s="1"/>
  <c r="P104" i="7"/>
  <c r="V104" i="7" s="1"/>
  <c r="K104" i="7"/>
  <c r="J104" i="7"/>
  <c r="F104" i="7"/>
  <c r="L104" i="7" s="1"/>
  <c r="BQ103" i="7"/>
  <c r="BP103" i="7"/>
  <c r="BL103" i="7"/>
  <c r="BR103" i="7" s="1"/>
  <c r="BG103" i="7"/>
  <c r="BF103" i="7"/>
  <c r="BB103" i="7"/>
  <c r="BH103" i="7" s="1"/>
  <c r="AV103" i="7"/>
  <c r="AU103" i="7"/>
  <c r="AQ103" i="7"/>
  <c r="AW103" i="7" s="1"/>
  <c r="AK103" i="7"/>
  <c r="AJ103" i="7"/>
  <c r="AE103" i="7"/>
  <c r="AL103" i="7" s="1"/>
  <c r="U103" i="7"/>
  <c r="Y103" i="7" s="1"/>
  <c r="T103" i="7"/>
  <c r="X103" i="7" s="1"/>
  <c r="P103" i="7"/>
  <c r="V103" i="7" s="1"/>
  <c r="K103" i="7"/>
  <c r="J103" i="7"/>
  <c r="F103" i="7"/>
  <c r="L103" i="7" s="1"/>
  <c r="BQ102" i="7"/>
  <c r="BP102" i="7"/>
  <c r="BL102" i="7"/>
  <c r="BR102" i="7" s="1"/>
  <c r="BG102" i="7"/>
  <c r="BF102" i="7"/>
  <c r="BB102" i="7"/>
  <c r="BH102" i="7" s="1"/>
  <c r="AV102" i="7"/>
  <c r="AU102" i="7"/>
  <c r="AQ102" i="7"/>
  <c r="AW102" i="7" s="1"/>
  <c r="AK102" i="7"/>
  <c r="AJ102" i="7"/>
  <c r="AE102" i="7"/>
  <c r="AL102" i="7" s="1"/>
  <c r="U102" i="7"/>
  <c r="Y102" i="7" s="1"/>
  <c r="T102" i="7"/>
  <c r="X102" i="7" s="1"/>
  <c r="P102" i="7"/>
  <c r="V102" i="7" s="1"/>
  <c r="K102" i="7"/>
  <c r="J102" i="7"/>
  <c r="F102" i="7"/>
  <c r="L102" i="7" s="1"/>
  <c r="BQ101" i="7"/>
  <c r="BP101" i="7"/>
  <c r="BL101" i="7"/>
  <c r="BG101" i="7"/>
  <c r="BF101" i="7"/>
  <c r="BB101" i="7"/>
  <c r="AV101" i="7"/>
  <c r="AU101" i="7"/>
  <c r="AQ101" i="7"/>
  <c r="AK101" i="7"/>
  <c r="AJ101" i="7"/>
  <c r="AE101" i="7"/>
  <c r="U101" i="7"/>
  <c r="T101" i="7"/>
  <c r="P101" i="7"/>
  <c r="V101" i="7" s="1"/>
  <c r="K101" i="7"/>
  <c r="J101" i="7"/>
  <c r="F101" i="7"/>
  <c r="L101" i="7" s="1"/>
  <c r="BK100" i="7"/>
  <c r="BQ100" i="7" s="1"/>
  <c r="BJ100" i="7"/>
  <c r="BP100" i="7" s="1"/>
  <c r="BA100" i="7"/>
  <c r="BG100" i="7" s="1"/>
  <c r="AP100" i="7"/>
  <c r="AO100" i="7"/>
  <c r="AI100" i="7"/>
  <c r="AH100" i="7"/>
  <c r="AG100" i="7"/>
  <c r="AF100" i="7"/>
  <c r="AD100" i="7"/>
  <c r="AC100" i="7"/>
  <c r="W100" i="7"/>
  <c r="S100" i="7"/>
  <c r="R100" i="7"/>
  <c r="Q100" i="7"/>
  <c r="O100" i="7"/>
  <c r="N100" i="7"/>
  <c r="I100" i="7"/>
  <c r="H100" i="7"/>
  <c r="G100" i="7"/>
  <c r="E100" i="7"/>
  <c r="D100" i="7"/>
  <c r="AV99" i="7"/>
  <c r="AU99" i="7"/>
  <c r="AQ99" i="7"/>
  <c r="AW99" i="7" s="1"/>
  <c r="AK99" i="7"/>
  <c r="AJ99" i="7"/>
  <c r="AE99" i="7"/>
  <c r="AL99" i="7" s="1"/>
  <c r="U99" i="7"/>
  <c r="Y99" i="7" s="1"/>
  <c r="T99" i="7"/>
  <c r="X99" i="7" s="1"/>
  <c r="P99" i="7"/>
  <c r="V99" i="7" s="1"/>
  <c r="K99" i="7"/>
  <c r="J99" i="7"/>
  <c r="F99" i="7"/>
  <c r="L99" i="7" s="1"/>
  <c r="BQ98" i="7"/>
  <c r="BP98" i="7"/>
  <c r="BL98" i="7"/>
  <c r="BG98" i="7"/>
  <c r="AZ98" i="7"/>
  <c r="BF98" i="7" s="1"/>
  <c r="AV98" i="7"/>
  <c r="AU98" i="7"/>
  <c r="AQ98" i="7"/>
  <c r="AK98" i="7"/>
  <c r="AJ98" i="7"/>
  <c r="AE98" i="7"/>
  <c r="AL98" i="7" s="1"/>
  <c r="U98" i="7"/>
  <c r="T98" i="7"/>
  <c r="P98" i="7"/>
  <c r="V98" i="7" s="1"/>
  <c r="K98" i="7"/>
  <c r="J98" i="7"/>
  <c r="F98" i="7"/>
  <c r="L98" i="7" s="1"/>
  <c r="BK97" i="7"/>
  <c r="BQ97" i="7" s="1"/>
  <c r="BJ97" i="7"/>
  <c r="BP97" i="7" s="1"/>
  <c r="BA97" i="7"/>
  <c r="BG97" i="7" s="1"/>
  <c r="AP97" i="7"/>
  <c r="AO97" i="7"/>
  <c r="AF97" i="7"/>
  <c r="AD97" i="7"/>
  <c r="AC97" i="7"/>
  <c r="W97" i="7"/>
  <c r="O97" i="7"/>
  <c r="N97" i="7"/>
  <c r="E97" i="7"/>
  <c r="D97" i="7"/>
  <c r="AK96" i="7"/>
  <c r="AJ96" i="7"/>
  <c r="AE96" i="7"/>
  <c r="AL96" i="7" s="1"/>
  <c r="AX96" i="7" s="1"/>
  <c r="U96" i="7"/>
  <c r="Y96" i="7" s="1"/>
  <c r="T96" i="7"/>
  <c r="X96" i="7" s="1"/>
  <c r="P96" i="7"/>
  <c r="V96" i="7" s="1"/>
  <c r="K96" i="7"/>
  <c r="J96" i="7"/>
  <c r="F96" i="7"/>
  <c r="L96" i="7" s="1"/>
  <c r="AV95" i="7"/>
  <c r="AU95" i="7"/>
  <c r="AQ95" i="7"/>
  <c r="AW95" i="7" s="1"/>
  <c r="AK95" i="7"/>
  <c r="AJ95" i="7"/>
  <c r="AE95" i="7"/>
  <c r="AL95" i="7" s="1"/>
  <c r="U95" i="7"/>
  <c r="Y95" i="7" s="1"/>
  <c r="T95" i="7"/>
  <c r="X95" i="7" s="1"/>
  <c r="P95" i="7"/>
  <c r="V95" i="7" s="1"/>
  <c r="K95" i="7"/>
  <c r="J95" i="7"/>
  <c r="F95" i="7"/>
  <c r="L95" i="7" s="1"/>
  <c r="BQ94" i="7"/>
  <c r="BP94" i="7"/>
  <c r="BL94" i="7"/>
  <c r="BR94" i="7" s="1"/>
  <c r="BG94" i="7"/>
  <c r="BF94" i="7"/>
  <c r="BB94" i="7"/>
  <c r="BH94" i="7" s="1"/>
  <c r="AV94" i="7"/>
  <c r="AU94" i="7"/>
  <c r="AQ94" i="7"/>
  <c r="AW94" i="7" s="1"/>
  <c r="AK94" i="7"/>
  <c r="AJ94" i="7"/>
  <c r="AE94" i="7"/>
  <c r="AL94" i="7" s="1"/>
  <c r="U94" i="7"/>
  <c r="Y94" i="7" s="1"/>
  <c r="T94" i="7"/>
  <c r="X94" i="7" s="1"/>
  <c r="P94" i="7"/>
  <c r="V94" i="7" s="1"/>
  <c r="K94" i="7"/>
  <c r="J94" i="7"/>
  <c r="F94" i="7"/>
  <c r="L94" i="7" s="1"/>
  <c r="BQ93" i="7"/>
  <c r="BP93" i="7"/>
  <c r="BL93" i="7"/>
  <c r="BR93" i="7" s="1"/>
  <c r="BG93" i="7"/>
  <c r="BF93" i="7"/>
  <c r="BB93" i="7"/>
  <c r="BH93" i="7" s="1"/>
  <c r="AV93" i="7"/>
  <c r="AU93" i="7"/>
  <c r="AQ93" i="7"/>
  <c r="AW93" i="7" s="1"/>
  <c r="AK93" i="7"/>
  <c r="AJ93" i="7"/>
  <c r="AE93" i="7"/>
  <c r="AL93" i="7" s="1"/>
  <c r="U93" i="7"/>
  <c r="Y93" i="7" s="1"/>
  <c r="T93" i="7"/>
  <c r="X93" i="7" s="1"/>
  <c r="P93" i="7"/>
  <c r="V93" i="7" s="1"/>
  <c r="K93" i="7"/>
  <c r="J93" i="7"/>
  <c r="F93" i="7"/>
  <c r="L93" i="7" s="1"/>
  <c r="BQ92" i="7"/>
  <c r="BP92" i="7"/>
  <c r="BL92" i="7"/>
  <c r="BR92" i="7" s="1"/>
  <c r="BG92" i="7"/>
  <c r="AZ92" i="7"/>
  <c r="AV92" i="7"/>
  <c r="AU92" i="7"/>
  <c r="AQ92" i="7"/>
  <c r="AW92" i="7" s="1"/>
  <c r="AK92" i="7"/>
  <c r="AJ92" i="7"/>
  <c r="AE92" i="7"/>
  <c r="AL92" i="7" s="1"/>
  <c r="U92" i="7"/>
  <c r="Y92" i="7" s="1"/>
  <c r="T92" i="7"/>
  <c r="X92" i="7" s="1"/>
  <c r="P92" i="7"/>
  <c r="V92" i="7" s="1"/>
  <c r="K92" i="7"/>
  <c r="J92" i="7"/>
  <c r="F92" i="7"/>
  <c r="L92" i="7" s="1"/>
  <c r="BQ91" i="7"/>
  <c r="BP91" i="7"/>
  <c r="BL91" i="7"/>
  <c r="BG91" i="7"/>
  <c r="AZ91" i="7"/>
  <c r="AV91" i="7"/>
  <c r="AU91" i="7"/>
  <c r="AQ91" i="7"/>
  <c r="AW91" i="7" s="1"/>
  <c r="AK91" i="7"/>
  <c r="AJ91" i="7"/>
  <c r="AE91" i="7"/>
  <c r="AL91" i="7" s="1"/>
  <c r="U91" i="7"/>
  <c r="Y91" i="7" s="1"/>
  <c r="T91" i="7"/>
  <c r="P91" i="7"/>
  <c r="V91" i="7" s="1"/>
  <c r="K91" i="7"/>
  <c r="J91" i="7"/>
  <c r="F91" i="7"/>
  <c r="L91" i="7" s="1"/>
  <c r="BN90" i="7"/>
  <c r="BM90" i="7"/>
  <c r="BK90" i="7"/>
  <c r="BJ90" i="7"/>
  <c r="BD90" i="7"/>
  <c r="BC90" i="7"/>
  <c r="BA90" i="7"/>
  <c r="AZ90" i="7"/>
  <c r="AP90" i="7"/>
  <c r="AO90" i="7"/>
  <c r="AH90" i="7"/>
  <c r="AG90" i="7"/>
  <c r="AF90" i="7"/>
  <c r="AD90" i="7"/>
  <c r="AC90" i="7"/>
  <c r="W90" i="7"/>
  <c r="O90" i="7"/>
  <c r="N90" i="7"/>
  <c r="E90" i="7"/>
  <c r="D90" i="7"/>
  <c r="BQ85" i="7"/>
  <c r="BP85" i="7"/>
  <c r="BL85" i="7"/>
  <c r="BR85" i="7" s="1"/>
  <c r="BG85" i="7"/>
  <c r="BF85" i="7"/>
  <c r="BB85" i="7"/>
  <c r="BH85" i="7" s="1"/>
  <c r="AV85" i="7"/>
  <c r="AU85" i="7"/>
  <c r="AQ85" i="7"/>
  <c r="AW85" i="7" s="1"/>
  <c r="AK85" i="7"/>
  <c r="AJ85" i="7"/>
  <c r="AE85" i="7"/>
  <c r="AL85" i="7" s="1"/>
  <c r="U85" i="7"/>
  <c r="Y85" i="7" s="1"/>
  <c r="T85" i="7"/>
  <c r="X85" i="7" s="1"/>
  <c r="P85" i="7"/>
  <c r="V85" i="7" s="1"/>
  <c r="K85" i="7"/>
  <c r="J85" i="7"/>
  <c r="F85" i="7"/>
  <c r="L85" i="7" s="1"/>
  <c r="BQ84" i="7"/>
  <c r="BP84" i="7"/>
  <c r="BO84" i="7"/>
  <c r="BO90" i="7" s="1"/>
  <c r="BL84" i="7"/>
  <c r="BG84" i="7"/>
  <c r="BF84" i="7"/>
  <c r="BE84" i="7"/>
  <c r="BE90" i="7" s="1"/>
  <c r="BB84" i="7"/>
  <c r="AS84" i="7"/>
  <c r="AS90" i="7" s="1"/>
  <c r="AR84" i="7"/>
  <c r="AQ84" i="7"/>
  <c r="AK84" i="7"/>
  <c r="AJ84" i="7"/>
  <c r="AI84" i="7"/>
  <c r="AI90" i="7" s="1"/>
  <c r="AE84" i="7"/>
  <c r="R84" i="7"/>
  <c r="Q84" i="7"/>
  <c r="Q90" i="7" s="1"/>
  <c r="P84" i="7"/>
  <c r="H84" i="7"/>
  <c r="H90" i="7" s="1"/>
  <c r="G84" i="7"/>
  <c r="F84" i="7"/>
  <c r="BK83" i="7"/>
  <c r="BQ83" i="7" s="1"/>
  <c r="BJ83" i="7"/>
  <c r="BP83" i="7" s="1"/>
  <c r="BE83" i="7"/>
  <c r="BD83" i="7"/>
  <c r="BC83" i="7"/>
  <c r="BA83" i="7"/>
  <c r="AZ83" i="7"/>
  <c r="AP83" i="7"/>
  <c r="AO83" i="7"/>
  <c r="AF83" i="7"/>
  <c r="AD83" i="7"/>
  <c r="AC83" i="7"/>
  <c r="W83" i="7"/>
  <c r="O83" i="7"/>
  <c r="N83" i="7"/>
  <c r="E83" i="7"/>
  <c r="D83" i="7"/>
  <c r="U82" i="7"/>
  <c r="Y82" i="7" s="1"/>
  <c r="T82" i="7"/>
  <c r="X82" i="7" s="1"/>
  <c r="P82" i="7"/>
  <c r="V82" i="7" s="1"/>
  <c r="AM82" i="7" s="1"/>
  <c r="K82" i="7"/>
  <c r="J82" i="7"/>
  <c r="F82" i="7"/>
  <c r="L82" i="7" s="1"/>
  <c r="U81" i="7"/>
  <c r="Y81" i="7" s="1"/>
  <c r="T81" i="7"/>
  <c r="X81" i="7" s="1"/>
  <c r="P81" i="7"/>
  <c r="V81" i="7" s="1"/>
  <c r="AM81" i="7" s="1"/>
  <c r="K81" i="7"/>
  <c r="J81" i="7"/>
  <c r="F81" i="7"/>
  <c r="L81" i="7" s="1"/>
  <c r="BQ80" i="7"/>
  <c r="BP80" i="7"/>
  <c r="BL80" i="7"/>
  <c r="BR80" i="7" s="1"/>
  <c r="BG80" i="7"/>
  <c r="BF80" i="7"/>
  <c r="BB80" i="7"/>
  <c r="BH80" i="7" s="1"/>
  <c r="AV80" i="7"/>
  <c r="AU80" i="7"/>
  <c r="AQ80" i="7"/>
  <c r="AW80" i="7" s="1"/>
  <c r="AK80" i="7"/>
  <c r="AJ80" i="7"/>
  <c r="AE80" i="7"/>
  <c r="AL80" i="7" s="1"/>
  <c r="U80" i="7"/>
  <c r="Y80" i="7" s="1"/>
  <c r="T80" i="7"/>
  <c r="X80" i="7" s="1"/>
  <c r="P80" i="7"/>
  <c r="V80" i="7" s="1"/>
  <c r="K80" i="7"/>
  <c r="J80" i="7"/>
  <c r="F80" i="7"/>
  <c r="L80" i="7" s="1"/>
  <c r="BQ79" i="7"/>
  <c r="BP79" i="7"/>
  <c r="BL79" i="7"/>
  <c r="BR79" i="7" s="1"/>
  <c r="BG79" i="7"/>
  <c r="BF79" i="7"/>
  <c r="BB79" i="7"/>
  <c r="BH79" i="7" s="1"/>
  <c r="AV79" i="7"/>
  <c r="AU79" i="7"/>
  <c r="AQ79" i="7"/>
  <c r="AW79" i="7" s="1"/>
  <c r="AK79" i="7"/>
  <c r="AJ79" i="7"/>
  <c r="AE79" i="7"/>
  <c r="AL79" i="7" s="1"/>
  <c r="U79" i="7"/>
  <c r="Y79" i="7" s="1"/>
  <c r="T79" i="7"/>
  <c r="X79" i="7" s="1"/>
  <c r="P79" i="7"/>
  <c r="V79" i="7" s="1"/>
  <c r="K79" i="7"/>
  <c r="J79" i="7"/>
  <c r="F79" i="7"/>
  <c r="L79" i="7" s="1"/>
  <c r="BQ78" i="7"/>
  <c r="BP78" i="7"/>
  <c r="BL78" i="7"/>
  <c r="BR78" i="7" s="1"/>
  <c r="BG78" i="7"/>
  <c r="BF78" i="7"/>
  <c r="BB78" i="7"/>
  <c r="BH78" i="7" s="1"/>
  <c r="AV78" i="7"/>
  <c r="AU78" i="7"/>
  <c r="AQ78" i="7"/>
  <c r="AW78" i="7" s="1"/>
  <c r="AK78" i="7"/>
  <c r="AJ78" i="7"/>
  <c r="AE78" i="7"/>
  <c r="U78" i="7"/>
  <c r="T78" i="7"/>
  <c r="P78" i="7"/>
  <c r="V78" i="7" s="1"/>
  <c r="K78" i="7"/>
  <c r="J78" i="7"/>
  <c r="F78" i="7"/>
  <c r="BN77" i="7"/>
  <c r="BM77" i="7"/>
  <c r="BK77" i="7"/>
  <c r="BJ77" i="7"/>
  <c r="BD77" i="7"/>
  <c r="BC77" i="7"/>
  <c r="AP77" i="7"/>
  <c r="AO77" i="7"/>
  <c r="AG77" i="7"/>
  <c r="AD77" i="7"/>
  <c r="W77" i="7"/>
  <c r="O77" i="7"/>
  <c r="N77" i="7"/>
  <c r="G77" i="7"/>
  <c r="E77" i="7"/>
  <c r="D77" i="7"/>
  <c r="K76" i="7"/>
  <c r="J76" i="7"/>
  <c r="F76" i="7"/>
  <c r="L76" i="7" s="1"/>
  <c r="AA76" i="7" s="1"/>
  <c r="K74" i="7"/>
  <c r="J74" i="7"/>
  <c r="F74" i="7"/>
  <c r="L74" i="7" s="1"/>
  <c r="AA74" i="7" s="1"/>
  <c r="U73" i="7"/>
  <c r="Y73" i="7" s="1"/>
  <c r="T73" i="7"/>
  <c r="X73" i="7" s="1"/>
  <c r="P73" i="7"/>
  <c r="V73" i="7" s="1"/>
  <c r="AM73" i="7" s="1"/>
  <c r="K73" i="7"/>
  <c r="J73" i="7"/>
  <c r="F73" i="7"/>
  <c r="L73" i="7" s="1"/>
  <c r="U72" i="7"/>
  <c r="Y72" i="7" s="1"/>
  <c r="T72" i="7"/>
  <c r="X72" i="7" s="1"/>
  <c r="P72" i="7"/>
  <c r="V72" i="7" s="1"/>
  <c r="AM72" i="7" s="1"/>
  <c r="K72" i="7"/>
  <c r="J72" i="7"/>
  <c r="F72" i="7"/>
  <c r="L72" i="7" s="1"/>
  <c r="U70" i="7"/>
  <c r="Y70" i="7" s="1"/>
  <c r="T70" i="7"/>
  <c r="X70" i="7" s="1"/>
  <c r="P70" i="7"/>
  <c r="V70" i="7" s="1"/>
  <c r="AM70" i="7" s="1"/>
  <c r="K70" i="7"/>
  <c r="J70" i="7"/>
  <c r="F70" i="7"/>
  <c r="L70" i="7" s="1"/>
  <c r="BQ69" i="7"/>
  <c r="BP69" i="7"/>
  <c r="BL69" i="7"/>
  <c r="BR69" i="7" s="1"/>
  <c r="BG69" i="7"/>
  <c r="BF69" i="7"/>
  <c r="BB69" i="7"/>
  <c r="BH69" i="7" s="1"/>
  <c r="AV69" i="7"/>
  <c r="AU69" i="7"/>
  <c r="AQ69" i="7"/>
  <c r="AW69" i="7" s="1"/>
  <c r="AK69" i="7"/>
  <c r="AJ69" i="7"/>
  <c r="AE69" i="7"/>
  <c r="AL69" i="7" s="1"/>
  <c r="U69" i="7"/>
  <c r="Y69" i="7" s="1"/>
  <c r="T69" i="7"/>
  <c r="X69" i="7" s="1"/>
  <c r="P69" i="7"/>
  <c r="V69" i="7" s="1"/>
  <c r="K69" i="7"/>
  <c r="J69" i="7"/>
  <c r="F69" i="7"/>
  <c r="L69" i="7" s="1"/>
  <c r="BQ68" i="7"/>
  <c r="BP68" i="7"/>
  <c r="BL68" i="7"/>
  <c r="BR68" i="7" s="1"/>
  <c r="BG68" i="7"/>
  <c r="AZ68" i="7"/>
  <c r="AV68" i="7"/>
  <c r="AU68" i="7"/>
  <c r="AQ68" i="7"/>
  <c r="AW68" i="7" s="1"/>
  <c r="AK68" i="7"/>
  <c r="AC68" i="7"/>
  <c r="U68" i="7"/>
  <c r="Y68" i="7" s="1"/>
  <c r="T68" i="7"/>
  <c r="X68" i="7" s="1"/>
  <c r="P68" i="7"/>
  <c r="V68" i="7" s="1"/>
  <c r="K68" i="7"/>
  <c r="J68" i="7"/>
  <c r="F68" i="7"/>
  <c r="L68" i="7" s="1"/>
  <c r="BQ67" i="7"/>
  <c r="BP67" i="7"/>
  <c r="BL67" i="7"/>
  <c r="BR67" i="7" s="1"/>
  <c r="BG67" i="7"/>
  <c r="AZ67" i="7"/>
  <c r="AV67" i="7"/>
  <c r="AU67" i="7"/>
  <c r="AQ67" i="7"/>
  <c r="AW67" i="7" s="1"/>
  <c r="AK67" i="7"/>
  <c r="AJ67" i="7"/>
  <c r="AE67" i="7"/>
  <c r="AL67" i="7" s="1"/>
  <c r="U67" i="7"/>
  <c r="Y67" i="7" s="1"/>
  <c r="T67" i="7"/>
  <c r="X67" i="7" s="1"/>
  <c r="P67" i="7"/>
  <c r="V67" i="7" s="1"/>
  <c r="K67" i="7"/>
  <c r="J67" i="7"/>
  <c r="F67" i="7"/>
  <c r="L67" i="7" s="1"/>
  <c r="BQ66" i="7"/>
  <c r="BP66" i="7"/>
  <c r="BL66" i="7"/>
  <c r="BR66" i="7" s="1"/>
  <c r="BF66" i="7"/>
  <c r="BA66" i="7"/>
  <c r="AV66" i="7"/>
  <c r="AU66" i="7"/>
  <c r="AQ66" i="7"/>
  <c r="AW66" i="7" s="1"/>
  <c r="AK66" i="7"/>
  <c r="AJ66" i="7"/>
  <c r="AE66" i="7"/>
  <c r="AL66" i="7" s="1"/>
  <c r="U66" i="7"/>
  <c r="Y66" i="7" s="1"/>
  <c r="T66" i="7"/>
  <c r="X66" i="7" s="1"/>
  <c r="P66" i="7"/>
  <c r="V66" i="7" s="1"/>
  <c r="K66" i="7"/>
  <c r="J66" i="7"/>
  <c r="F66" i="7"/>
  <c r="L66" i="7" s="1"/>
  <c r="BQ65" i="7"/>
  <c r="BP65" i="7"/>
  <c r="BO65" i="7"/>
  <c r="BO77" i="7" s="1"/>
  <c r="BL65" i="7"/>
  <c r="BG65" i="7"/>
  <c r="BF65" i="7"/>
  <c r="BE65" i="7"/>
  <c r="BE77" i="7" s="1"/>
  <c r="BB65" i="7"/>
  <c r="AS65" i="7"/>
  <c r="AR65" i="7"/>
  <c r="AQ65" i="7"/>
  <c r="AJ65" i="7"/>
  <c r="AH65" i="7"/>
  <c r="AH77" i="7" s="1"/>
  <c r="AF65" i="7"/>
  <c r="AF77" i="7" s="1"/>
  <c r="AE65" i="7"/>
  <c r="R65" i="7"/>
  <c r="R77" i="7" s="1"/>
  <c r="Q65" i="7"/>
  <c r="Q77" i="7" s="1"/>
  <c r="P65" i="7"/>
  <c r="J65" i="7"/>
  <c r="H65" i="7"/>
  <c r="F65" i="7"/>
  <c r="AF64" i="7"/>
  <c r="AD64" i="7"/>
  <c r="AC64" i="7"/>
  <c r="W64" i="7"/>
  <c r="O64" i="7"/>
  <c r="N64" i="7"/>
  <c r="V63" i="7"/>
  <c r="AM63" i="7" s="1"/>
  <c r="U63" i="7"/>
  <c r="Y63" i="7" s="1"/>
  <c r="T63" i="7"/>
  <c r="X63" i="7" s="1"/>
  <c r="L63" i="7"/>
  <c r="BK60" i="7"/>
  <c r="BK64" i="7" s="1"/>
  <c r="BQ64" i="7" s="1"/>
  <c r="BJ60" i="7"/>
  <c r="BA60" i="7"/>
  <c r="BG60" i="7" s="1"/>
  <c r="AZ60" i="7"/>
  <c r="BF60" i="7" s="1"/>
  <c r="AP60" i="7"/>
  <c r="AP64" i="7" s="1"/>
  <c r="AO60" i="7"/>
  <c r="AO64" i="7" s="1"/>
  <c r="AK60" i="7"/>
  <c r="AJ60" i="7"/>
  <c r="AE60" i="7"/>
  <c r="U60" i="7"/>
  <c r="Y60" i="7" s="1"/>
  <c r="T60" i="7"/>
  <c r="X60" i="7" s="1"/>
  <c r="P60" i="7"/>
  <c r="V60" i="7" s="1"/>
  <c r="K60" i="7"/>
  <c r="J60" i="7"/>
  <c r="F60" i="7"/>
  <c r="L60" i="7" s="1"/>
  <c r="BK59" i="7"/>
  <c r="BQ59" i="7" s="1"/>
  <c r="BJ59" i="7"/>
  <c r="BP59" i="7" s="1"/>
  <c r="AP59" i="7"/>
  <c r="AF59" i="7"/>
  <c r="AD59" i="7"/>
  <c r="AC59" i="7"/>
  <c r="W59" i="7"/>
  <c r="O59" i="7"/>
  <c r="N59" i="7"/>
  <c r="E59" i="7"/>
  <c r="D59" i="7"/>
  <c r="BQ58" i="7"/>
  <c r="BP58" i="7"/>
  <c r="BL58" i="7"/>
  <c r="BA58" i="7"/>
  <c r="AZ58" i="7"/>
  <c r="BF58" i="7" s="1"/>
  <c r="AV58" i="7"/>
  <c r="AO58" i="7"/>
  <c r="AK58" i="7"/>
  <c r="AK59" i="7" s="1"/>
  <c r="AJ58" i="7"/>
  <c r="AJ59" i="7" s="1"/>
  <c r="AE58" i="7"/>
  <c r="U58" i="7"/>
  <c r="U59" i="7" s="1"/>
  <c r="T58" i="7"/>
  <c r="X58" i="7" s="1"/>
  <c r="X59" i="7" s="1"/>
  <c r="P58" i="7"/>
  <c r="K58" i="7"/>
  <c r="J58" i="7"/>
  <c r="F58" i="7"/>
  <c r="BN57" i="7"/>
  <c r="BM57" i="7"/>
  <c r="BK57" i="7"/>
  <c r="BJ57" i="7"/>
  <c r="BD57" i="7"/>
  <c r="BC57" i="7"/>
  <c r="BA57" i="7"/>
  <c r="AZ57" i="7"/>
  <c r="AP57" i="7"/>
  <c r="AO57" i="7"/>
  <c r="AH57" i="7"/>
  <c r="AG57" i="7"/>
  <c r="AD57" i="7"/>
  <c r="W57" i="7"/>
  <c r="O57" i="7"/>
  <c r="E57" i="7"/>
  <c r="D57" i="7"/>
  <c r="BQ56" i="7"/>
  <c r="BP56" i="7"/>
  <c r="BL56" i="7"/>
  <c r="BR56" i="7" s="1"/>
  <c r="BG56" i="7"/>
  <c r="BF56" i="7"/>
  <c r="BB56" i="7"/>
  <c r="BH56" i="7" s="1"/>
  <c r="AV56" i="7"/>
  <c r="AU56" i="7"/>
  <c r="AQ56" i="7"/>
  <c r="AW56" i="7" s="1"/>
  <c r="AK56" i="7"/>
  <c r="AJ56" i="7"/>
  <c r="AE56" i="7"/>
  <c r="AL56" i="7" s="1"/>
  <c r="U56" i="7"/>
  <c r="Y56" i="7" s="1"/>
  <c r="T56" i="7"/>
  <c r="X56" i="7" s="1"/>
  <c r="P56" i="7"/>
  <c r="V56" i="7" s="1"/>
  <c r="K56" i="7"/>
  <c r="J56" i="7"/>
  <c r="F56" i="7"/>
  <c r="L56" i="7" s="1"/>
  <c r="AF57" i="7"/>
  <c r="BQ55" i="7"/>
  <c r="BP55" i="7"/>
  <c r="BL55" i="7"/>
  <c r="BR55" i="7" s="1"/>
  <c r="BG55" i="7"/>
  <c r="BF55" i="7"/>
  <c r="BB55" i="7"/>
  <c r="BH55" i="7" s="1"/>
  <c r="AV55" i="7"/>
  <c r="AU55" i="7"/>
  <c r="AQ55" i="7"/>
  <c r="AW55" i="7" s="1"/>
  <c r="AK55" i="7"/>
  <c r="AJ55" i="7"/>
  <c r="AE55" i="7"/>
  <c r="AL55" i="7" s="1"/>
  <c r="U55" i="7"/>
  <c r="Y55" i="7" s="1"/>
  <c r="T55" i="7"/>
  <c r="X55" i="7" s="1"/>
  <c r="P55" i="7"/>
  <c r="V55" i="7" s="1"/>
  <c r="K55" i="7"/>
  <c r="J55" i="7"/>
  <c r="F55" i="7"/>
  <c r="L55" i="7" s="1"/>
  <c r="BQ54" i="7"/>
  <c r="BP54" i="7"/>
  <c r="BL54" i="7"/>
  <c r="BR54" i="7" s="1"/>
  <c r="BG54" i="7"/>
  <c r="BF54" i="7"/>
  <c r="BB54" i="7"/>
  <c r="BH54" i="7" s="1"/>
  <c r="AV54" i="7"/>
  <c r="AU54" i="7"/>
  <c r="AQ54" i="7"/>
  <c r="AW54" i="7" s="1"/>
  <c r="AK54" i="7"/>
  <c r="AJ54" i="7"/>
  <c r="AE54" i="7"/>
  <c r="AL54" i="7" s="1"/>
  <c r="U54" i="7"/>
  <c r="Y54" i="7" s="1"/>
  <c r="T54" i="7"/>
  <c r="X54" i="7" s="1"/>
  <c r="P54" i="7"/>
  <c r="V54" i="7" s="1"/>
  <c r="K54" i="7"/>
  <c r="J54" i="7"/>
  <c r="F54" i="7"/>
  <c r="L54" i="7" s="1"/>
  <c r="BQ53" i="7"/>
  <c r="BP53" i="7"/>
  <c r="BO53" i="7"/>
  <c r="BL53" i="7"/>
  <c r="BG53" i="7"/>
  <c r="BF53" i="7"/>
  <c r="BE53" i="7"/>
  <c r="BB53" i="7"/>
  <c r="AS53" i="7"/>
  <c r="AR53" i="7"/>
  <c r="AU53" i="7" s="1"/>
  <c r="AQ53" i="7"/>
  <c r="AK53" i="7"/>
  <c r="AI53" i="7"/>
  <c r="AC53" i="7"/>
  <c r="AJ53" i="7" s="1"/>
  <c r="U53" i="7"/>
  <c r="Y53" i="7" s="1"/>
  <c r="N53" i="7"/>
  <c r="K53" i="7"/>
  <c r="G53" i="7"/>
  <c r="I53" i="7" s="1"/>
  <c r="F53" i="7"/>
  <c r="BQ52" i="7"/>
  <c r="BP52" i="7"/>
  <c r="BO52" i="7"/>
  <c r="BL52" i="7"/>
  <c r="BG52" i="7"/>
  <c r="BF52" i="7"/>
  <c r="BE52" i="7"/>
  <c r="BB52" i="7"/>
  <c r="AS52" i="7"/>
  <c r="AV52" i="7" s="1"/>
  <c r="AR52" i="7"/>
  <c r="AU52" i="7" s="1"/>
  <c r="AQ52" i="7"/>
  <c r="AK52" i="7"/>
  <c r="AJ52" i="7"/>
  <c r="AI52" i="7"/>
  <c r="AE52" i="7"/>
  <c r="R52" i="7"/>
  <c r="R57" i="7" s="1"/>
  <c r="Q52" i="7"/>
  <c r="P52" i="7"/>
  <c r="H52" i="7"/>
  <c r="H57" i="7" s="1"/>
  <c r="G52" i="7"/>
  <c r="F52" i="7"/>
  <c r="BN51" i="7"/>
  <c r="BM51" i="7"/>
  <c r="BK51" i="7"/>
  <c r="BJ51" i="7"/>
  <c r="BD51" i="7"/>
  <c r="BC51" i="7"/>
  <c r="BA51" i="7"/>
  <c r="AP51" i="7"/>
  <c r="AO51" i="7"/>
  <c r="AH51" i="7"/>
  <c r="AG51" i="7"/>
  <c r="AD51" i="7"/>
  <c r="AC51" i="7"/>
  <c r="W51" i="7"/>
  <c r="N51" i="7"/>
  <c r="K41" i="7"/>
  <c r="J41" i="7"/>
  <c r="F41" i="7"/>
  <c r="L41" i="7" s="1"/>
  <c r="AA41" i="7" s="1"/>
  <c r="U40" i="7"/>
  <c r="Y40" i="7" s="1"/>
  <c r="T40" i="7"/>
  <c r="X40" i="7" s="1"/>
  <c r="P40" i="7"/>
  <c r="V40" i="7" s="1"/>
  <c r="AM40" i="7" s="1"/>
  <c r="K40" i="7"/>
  <c r="J40" i="7"/>
  <c r="F40" i="7"/>
  <c r="L40" i="7" s="1"/>
  <c r="AF51" i="7"/>
  <c r="BQ39" i="7"/>
  <c r="BP39" i="7"/>
  <c r="BL39" i="7"/>
  <c r="BR39" i="7" s="1"/>
  <c r="BG39" i="7"/>
  <c r="AZ39" i="7"/>
  <c r="AZ51" i="7" s="1"/>
  <c r="AV39" i="7"/>
  <c r="AU39" i="7"/>
  <c r="AQ39" i="7"/>
  <c r="AW39" i="7" s="1"/>
  <c r="AK39" i="7"/>
  <c r="AJ39" i="7"/>
  <c r="AE39" i="7"/>
  <c r="AL39" i="7" s="1"/>
  <c r="U39" i="7"/>
  <c r="Y39" i="7" s="1"/>
  <c r="T39" i="7"/>
  <c r="X39" i="7" s="1"/>
  <c r="P39" i="7"/>
  <c r="V39" i="7" s="1"/>
  <c r="K39" i="7"/>
  <c r="J39" i="7"/>
  <c r="F39" i="7"/>
  <c r="L39" i="7" s="1"/>
  <c r="BQ38" i="7"/>
  <c r="BP38" i="7"/>
  <c r="BL38" i="7"/>
  <c r="BR38" i="7" s="1"/>
  <c r="BG38" i="7"/>
  <c r="BF38" i="7"/>
  <c r="BB38" i="7"/>
  <c r="BH38" i="7" s="1"/>
  <c r="AV38" i="7"/>
  <c r="AU38" i="7"/>
  <c r="AQ38" i="7"/>
  <c r="AW38" i="7" s="1"/>
  <c r="AK38" i="7"/>
  <c r="AJ38" i="7"/>
  <c r="AE38" i="7"/>
  <c r="AL38" i="7" s="1"/>
  <c r="U38" i="7"/>
  <c r="Y38" i="7" s="1"/>
  <c r="T38" i="7"/>
  <c r="X38" i="7" s="1"/>
  <c r="P38" i="7"/>
  <c r="V38" i="7" s="1"/>
  <c r="K38" i="7"/>
  <c r="J38" i="7"/>
  <c r="F38" i="7"/>
  <c r="L38" i="7" s="1"/>
  <c r="BQ37" i="7"/>
  <c r="BP37" i="7"/>
  <c r="BL37" i="7"/>
  <c r="BR37" i="7" s="1"/>
  <c r="BG37" i="7"/>
  <c r="BF37" i="7"/>
  <c r="BB37" i="7"/>
  <c r="BH37" i="7" s="1"/>
  <c r="AV37" i="7"/>
  <c r="AU37" i="7"/>
  <c r="AQ37" i="7"/>
  <c r="AW37" i="7" s="1"/>
  <c r="AK37" i="7"/>
  <c r="AJ37" i="7"/>
  <c r="AE37" i="7"/>
  <c r="AL37" i="7" s="1"/>
  <c r="U37" i="7"/>
  <c r="Y37" i="7" s="1"/>
  <c r="T37" i="7"/>
  <c r="X37" i="7" s="1"/>
  <c r="P37" i="7"/>
  <c r="V37" i="7" s="1"/>
  <c r="K37" i="7"/>
  <c r="J37" i="7"/>
  <c r="F37" i="7"/>
  <c r="L37" i="7" s="1"/>
  <c r="BQ36" i="7"/>
  <c r="BP36" i="7"/>
  <c r="BO36" i="7"/>
  <c r="BL36" i="7"/>
  <c r="BG36" i="7"/>
  <c r="BF36" i="7"/>
  <c r="BE36" i="7"/>
  <c r="BB36" i="7"/>
  <c r="AS36" i="7"/>
  <c r="AR36" i="7"/>
  <c r="AU36" i="7" s="1"/>
  <c r="AQ36" i="7"/>
  <c r="AK36" i="7"/>
  <c r="AJ36" i="7"/>
  <c r="AI36" i="7"/>
  <c r="AE36" i="7"/>
  <c r="Q36" i="7"/>
  <c r="T36" i="7" s="1"/>
  <c r="X36" i="7" s="1"/>
  <c r="O36" i="7"/>
  <c r="H36" i="7"/>
  <c r="K36" i="7" s="1"/>
  <c r="G36" i="7"/>
  <c r="F36" i="7"/>
  <c r="BQ35" i="7"/>
  <c r="BP35" i="7"/>
  <c r="BO35" i="7"/>
  <c r="BL35" i="7"/>
  <c r="BG35" i="7"/>
  <c r="BF35" i="7"/>
  <c r="BE35" i="7"/>
  <c r="BB35" i="7"/>
  <c r="AS35" i="7"/>
  <c r="AV35" i="7" s="1"/>
  <c r="AR35" i="7"/>
  <c r="AQ35" i="7"/>
  <c r="AK35" i="7"/>
  <c r="AJ35" i="7"/>
  <c r="AI35" i="7"/>
  <c r="AE35" i="7"/>
  <c r="R35" i="7"/>
  <c r="Q35" i="7"/>
  <c r="P35" i="7"/>
  <c r="H35" i="7"/>
  <c r="H51" i="7" s="1"/>
  <c r="G35" i="7"/>
  <c r="F35" i="7"/>
  <c r="BN34" i="7"/>
  <c r="BM34" i="7"/>
  <c r="BK34" i="7"/>
  <c r="BJ34" i="7"/>
  <c r="BD34" i="7"/>
  <c r="BC34" i="7"/>
  <c r="BA34" i="7"/>
  <c r="AP34" i="7"/>
  <c r="AH34" i="7"/>
  <c r="AG34" i="7"/>
  <c r="AD34" i="7"/>
  <c r="AC34" i="7"/>
  <c r="W34" i="7"/>
  <c r="O34" i="7"/>
  <c r="N34" i="7"/>
  <c r="E34" i="7"/>
  <c r="D34" i="7"/>
  <c r="AF34" i="7"/>
  <c r="AV33" i="7"/>
  <c r="AQ33" i="7"/>
  <c r="AJ33" i="7"/>
  <c r="AE33" i="7"/>
  <c r="AL33" i="7" s="1"/>
  <c r="AX33" i="7" s="1"/>
  <c r="Y33" i="7"/>
  <c r="T33" i="7"/>
  <c r="X33" i="7" s="1"/>
  <c r="P33" i="7"/>
  <c r="V33" i="7" s="1"/>
  <c r="J33" i="7"/>
  <c r="F33" i="7"/>
  <c r="L33" i="7" s="1"/>
  <c r="BQ31" i="7"/>
  <c r="BP31" i="7"/>
  <c r="BL31" i="7"/>
  <c r="BR31" i="7" s="1"/>
  <c r="BG31" i="7"/>
  <c r="BF31" i="7"/>
  <c r="BB31" i="7"/>
  <c r="BH31" i="7" s="1"/>
  <c r="AV31" i="7"/>
  <c r="AU31" i="7"/>
  <c r="AQ31" i="7"/>
  <c r="AW31" i="7" s="1"/>
  <c r="AK31" i="7"/>
  <c r="AJ31" i="7"/>
  <c r="AE31" i="7"/>
  <c r="AL31" i="7" s="1"/>
  <c r="U31" i="7"/>
  <c r="Y31" i="7" s="1"/>
  <c r="T31" i="7"/>
  <c r="X31" i="7" s="1"/>
  <c r="P31" i="7"/>
  <c r="V31" i="7" s="1"/>
  <c r="K31" i="7"/>
  <c r="J31" i="7"/>
  <c r="F31" i="7"/>
  <c r="L31" i="7" s="1"/>
  <c r="BQ30" i="7"/>
  <c r="BP30" i="7"/>
  <c r="BL30" i="7"/>
  <c r="BR30" i="7" s="1"/>
  <c r="BG30" i="7"/>
  <c r="BF30" i="7"/>
  <c r="BB30" i="7"/>
  <c r="BH30" i="7" s="1"/>
  <c r="AV30" i="7"/>
  <c r="AO30" i="7"/>
  <c r="AQ30" i="7" s="1"/>
  <c r="AW30" i="7" s="1"/>
  <c r="AK30" i="7"/>
  <c r="AJ30" i="7"/>
  <c r="AE30" i="7"/>
  <c r="AL30" i="7" s="1"/>
  <c r="U30" i="7"/>
  <c r="Y30" i="7" s="1"/>
  <c r="T30" i="7"/>
  <c r="X30" i="7" s="1"/>
  <c r="P30" i="7"/>
  <c r="V30" i="7" s="1"/>
  <c r="K30" i="7"/>
  <c r="J30" i="7"/>
  <c r="F30" i="7"/>
  <c r="L30" i="7" s="1"/>
  <c r="BQ29" i="7"/>
  <c r="BP29" i="7"/>
  <c r="BL29" i="7"/>
  <c r="BR29" i="7" s="1"/>
  <c r="BG29" i="7"/>
  <c r="BF29" i="7"/>
  <c r="BB29" i="7"/>
  <c r="BH29" i="7" s="1"/>
  <c r="AV29" i="7"/>
  <c r="AO29" i="7"/>
  <c r="AK29" i="7"/>
  <c r="AJ29" i="7"/>
  <c r="AE29" i="7"/>
  <c r="AL29" i="7" s="1"/>
  <c r="U29" i="7"/>
  <c r="Y29" i="7" s="1"/>
  <c r="T29" i="7"/>
  <c r="X29" i="7" s="1"/>
  <c r="P29" i="7"/>
  <c r="V29" i="7" s="1"/>
  <c r="K29" i="7"/>
  <c r="J29" i="7"/>
  <c r="F29" i="7"/>
  <c r="L29" i="7" s="1"/>
  <c r="BQ28" i="7"/>
  <c r="BP28" i="7"/>
  <c r="BL28" i="7"/>
  <c r="BR28" i="7" s="1"/>
  <c r="BG28" i="7"/>
  <c r="BF28" i="7"/>
  <c r="BB28" i="7"/>
  <c r="BH28" i="7" s="1"/>
  <c r="AV28" i="7"/>
  <c r="AU28" i="7"/>
  <c r="AQ28" i="7"/>
  <c r="AW28" i="7" s="1"/>
  <c r="AK28" i="7"/>
  <c r="AJ28" i="7"/>
  <c r="AE28" i="7"/>
  <c r="AL28" i="7" s="1"/>
  <c r="U28" i="7"/>
  <c r="Y28" i="7" s="1"/>
  <c r="T28" i="7"/>
  <c r="X28" i="7" s="1"/>
  <c r="P28" i="7"/>
  <c r="V28" i="7" s="1"/>
  <c r="K28" i="7"/>
  <c r="J28" i="7"/>
  <c r="F28" i="7"/>
  <c r="L28" i="7" s="1"/>
  <c r="BQ27" i="7"/>
  <c r="BP27" i="7"/>
  <c r="BL27" i="7"/>
  <c r="BR27" i="7" s="1"/>
  <c r="BG27" i="7"/>
  <c r="BF27" i="7"/>
  <c r="BB27" i="7"/>
  <c r="BH27" i="7" s="1"/>
  <c r="AV27" i="7"/>
  <c r="AU27" i="7"/>
  <c r="AQ27" i="7"/>
  <c r="AW27" i="7" s="1"/>
  <c r="AK27" i="7"/>
  <c r="AJ27" i="7"/>
  <c r="AE27" i="7"/>
  <c r="AL27" i="7" s="1"/>
  <c r="U27" i="7"/>
  <c r="Y27" i="7" s="1"/>
  <c r="T27" i="7"/>
  <c r="X27" i="7" s="1"/>
  <c r="P27" i="7"/>
  <c r="V27" i="7" s="1"/>
  <c r="K27" i="7"/>
  <c r="J27" i="7"/>
  <c r="F27" i="7"/>
  <c r="L27" i="7" s="1"/>
  <c r="BQ26" i="7"/>
  <c r="BP26" i="7"/>
  <c r="BO26" i="7"/>
  <c r="BO34" i="7" s="1"/>
  <c r="BL26" i="7"/>
  <c r="BG26" i="7"/>
  <c r="BF26" i="7"/>
  <c r="BE26" i="7"/>
  <c r="BE34" i="7" s="1"/>
  <c r="BB26" i="7"/>
  <c r="AS26" i="7"/>
  <c r="AR26" i="7"/>
  <c r="AR34" i="7" s="1"/>
  <c r="AQ26" i="7"/>
  <c r="AK26" i="7"/>
  <c r="AJ26" i="7"/>
  <c r="AI26" i="7"/>
  <c r="AI34" i="7" s="1"/>
  <c r="AE26" i="7"/>
  <c r="R26" i="7"/>
  <c r="R34" i="7" s="1"/>
  <c r="Q26" i="7"/>
  <c r="P26" i="7"/>
  <c r="H26" i="7"/>
  <c r="G26" i="7"/>
  <c r="G34" i="7" s="1"/>
  <c r="F26" i="7"/>
  <c r="BN25" i="7"/>
  <c r="BM25" i="7"/>
  <c r="BK25" i="7"/>
  <c r="BD25" i="7"/>
  <c r="BC25" i="7"/>
  <c r="BA25" i="7"/>
  <c r="AS25" i="7"/>
  <c r="AR25" i="7"/>
  <c r="AH25" i="7"/>
  <c r="AG25" i="7"/>
  <c r="AF25" i="7"/>
  <c r="W25" i="7"/>
  <c r="O25" i="7"/>
  <c r="N25" i="7"/>
  <c r="H25" i="7"/>
  <c r="E25" i="7"/>
  <c r="D25" i="7"/>
  <c r="AV24" i="7"/>
  <c r="AU24" i="7"/>
  <c r="AQ24" i="7"/>
  <c r="AW24" i="7" s="1"/>
  <c r="AK24" i="7"/>
  <c r="AJ24" i="7"/>
  <c r="AE24" i="7"/>
  <c r="AL24" i="7" s="1"/>
  <c r="U24" i="7"/>
  <c r="T24" i="7"/>
  <c r="P24" i="7"/>
  <c r="V24" i="7" s="1"/>
  <c r="K24" i="7"/>
  <c r="J24" i="7"/>
  <c r="F24" i="7"/>
  <c r="L24" i="7" s="1"/>
  <c r="Y23" i="7"/>
  <c r="T23" i="7"/>
  <c r="X23" i="7" s="1"/>
  <c r="P23" i="7"/>
  <c r="V23" i="7" s="1"/>
  <c r="AM23" i="7" s="1"/>
  <c r="K23" i="7"/>
  <c r="J23" i="7"/>
  <c r="F23" i="7"/>
  <c r="L23" i="7" s="1"/>
  <c r="BG22" i="7"/>
  <c r="BF22" i="7"/>
  <c r="BB22" i="7"/>
  <c r="BH22" i="7" s="1"/>
  <c r="AV22" i="7"/>
  <c r="AO22" i="7"/>
  <c r="AQ22" i="7" s="1"/>
  <c r="AW22" i="7" s="1"/>
  <c r="AK22" i="7"/>
  <c r="AJ22" i="7"/>
  <c r="AE22" i="7"/>
  <c r="AL22" i="7" s="1"/>
  <c r="U22" i="7"/>
  <c r="Y22" i="7" s="1"/>
  <c r="T22" i="7"/>
  <c r="X22" i="7" s="1"/>
  <c r="P22" i="7"/>
  <c r="V22" i="7" s="1"/>
  <c r="K22" i="7"/>
  <c r="J22" i="7"/>
  <c r="F22" i="7"/>
  <c r="L22" i="7" s="1"/>
  <c r="BQ21" i="7"/>
  <c r="BP21" i="7"/>
  <c r="BL21" i="7"/>
  <c r="BR21" i="7" s="1"/>
  <c r="BG21" i="7"/>
  <c r="BF21" i="7"/>
  <c r="BB21" i="7"/>
  <c r="BH21" i="7" s="1"/>
  <c r="AV21" i="7"/>
  <c r="AU21" i="7"/>
  <c r="AQ21" i="7"/>
  <c r="AW21" i="7" s="1"/>
  <c r="AK21" i="7"/>
  <c r="AJ21" i="7"/>
  <c r="AE21" i="7"/>
  <c r="AL21" i="7" s="1"/>
  <c r="U21" i="7"/>
  <c r="Y21" i="7" s="1"/>
  <c r="T21" i="7"/>
  <c r="X21" i="7" s="1"/>
  <c r="P21" i="7"/>
  <c r="V21" i="7" s="1"/>
  <c r="K21" i="7"/>
  <c r="J21" i="7"/>
  <c r="F21" i="7"/>
  <c r="L21" i="7" s="1"/>
  <c r="BQ20" i="7"/>
  <c r="BP20" i="7"/>
  <c r="BL20" i="7"/>
  <c r="BR20" i="7" s="1"/>
  <c r="BG20" i="7"/>
  <c r="BF20" i="7"/>
  <c r="BB20" i="7"/>
  <c r="BH20" i="7" s="1"/>
  <c r="AV20" i="7"/>
  <c r="AU20" i="7"/>
  <c r="AQ20" i="7"/>
  <c r="AW20" i="7" s="1"/>
  <c r="AK20" i="7"/>
  <c r="AJ20" i="7"/>
  <c r="AE20" i="7"/>
  <c r="AL20" i="7" s="1"/>
  <c r="U20" i="7"/>
  <c r="Y20" i="7" s="1"/>
  <c r="T20" i="7"/>
  <c r="X20" i="7" s="1"/>
  <c r="P20" i="7"/>
  <c r="V20" i="7" s="1"/>
  <c r="K20" i="7"/>
  <c r="J20" i="7"/>
  <c r="F20" i="7"/>
  <c r="L20" i="7" s="1"/>
  <c r="BQ19" i="7"/>
  <c r="BP19" i="7"/>
  <c r="BL19" i="7"/>
  <c r="BR19" i="7" s="1"/>
  <c r="BG19" i="7"/>
  <c r="BF19" i="7"/>
  <c r="BB19" i="7"/>
  <c r="BH19" i="7" s="1"/>
  <c r="AV19" i="7"/>
  <c r="AU19" i="7"/>
  <c r="AQ19" i="7"/>
  <c r="AW19" i="7" s="1"/>
  <c r="AK19" i="7"/>
  <c r="AJ19" i="7"/>
  <c r="AE19" i="7"/>
  <c r="AL19" i="7" s="1"/>
  <c r="U19" i="7"/>
  <c r="Y19" i="7" s="1"/>
  <c r="T19" i="7"/>
  <c r="X19" i="7" s="1"/>
  <c r="P19" i="7"/>
  <c r="V19" i="7" s="1"/>
  <c r="K19" i="7"/>
  <c r="J19" i="7"/>
  <c r="F19" i="7"/>
  <c r="L19" i="7" s="1"/>
  <c r="BQ18" i="7"/>
  <c r="BJ18" i="7"/>
  <c r="BL18" i="7" s="1"/>
  <c r="BR18" i="7" s="1"/>
  <c r="BG18" i="7"/>
  <c r="AZ18" i="7"/>
  <c r="AV18" i="7"/>
  <c r="AU18" i="7"/>
  <c r="AQ18" i="7"/>
  <c r="AW18" i="7" s="1"/>
  <c r="AK18" i="7"/>
  <c r="AJ18" i="7"/>
  <c r="AE18" i="7"/>
  <c r="AL18" i="7" s="1"/>
  <c r="U18" i="7"/>
  <c r="Y18" i="7" s="1"/>
  <c r="T18" i="7"/>
  <c r="X18" i="7" s="1"/>
  <c r="P18" i="7"/>
  <c r="V18" i="7" s="1"/>
  <c r="K18" i="7"/>
  <c r="J18" i="7"/>
  <c r="F18" i="7"/>
  <c r="L18" i="7" s="1"/>
  <c r="BQ17" i="7"/>
  <c r="BP17" i="7"/>
  <c r="BO17" i="7"/>
  <c r="BO25" i="7" s="1"/>
  <c r="BL17" i="7"/>
  <c r="BG17" i="7"/>
  <c r="BF17" i="7"/>
  <c r="BE17" i="7"/>
  <c r="BE25" i="7" s="1"/>
  <c r="BB17" i="7"/>
  <c r="AT17" i="7"/>
  <c r="AT25" i="7" s="1"/>
  <c r="AP17" i="7"/>
  <c r="AP25" i="7" s="1"/>
  <c r="AO17" i="7"/>
  <c r="AU17" i="7" s="1"/>
  <c r="AI17" i="7"/>
  <c r="AI25" i="7" s="1"/>
  <c r="AD17" i="7"/>
  <c r="AK17" i="7" s="1"/>
  <c r="AC17" i="7"/>
  <c r="AJ17" i="7" s="1"/>
  <c r="R17" i="7"/>
  <c r="U17" i="7" s="1"/>
  <c r="Q17" i="7"/>
  <c r="Q25" i="7" s="1"/>
  <c r="P17" i="7"/>
  <c r="K17" i="7"/>
  <c r="G17" i="7"/>
  <c r="I17" i="7" s="1"/>
  <c r="F17" i="7"/>
  <c r="BK16" i="7"/>
  <c r="BQ16" i="7" s="1"/>
  <c r="BJ16" i="7"/>
  <c r="BP16" i="7" s="1"/>
  <c r="BA16" i="7"/>
  <c r="AZ16" i="7"/>
  <c r="AP16" i="7"/>
  <c r="AO16" i="7"/>
  <c r="AF16" i="7"/>
  <c r="AD16" i="7"/>
  <c r="AC16" i="7"/>
  <c r="W16" i="7"/>
  <c r="O16" i="7"/>
  <c r="N16" i="7"/>
  <c r="E16" i="7"/>
  <c r="D16" i="7"/>
  <c r="AV15" i="7"/>
  <c r="AU15" i="7"/>
  <c r="AQ15" i="7"/>
  <c r="AW15" i="7" s="1"/>
  <c r="AK15" i="7"/>
  <c r="AJ15" i="7"/>
  <c r="AE15" i="7"/>
  <c r="AL15" i="7" s="1"/>
  <c r="U15" i="7"/>
  <c r="Y15" i="7" s="1"/>
  <c r="T15" i="7"/>
  <c r="X15" i="7" s="1"/>
  <c r="P15" i="7"/>
  <c r="V15" i="7" s="1"/>
  <c r="L15" i="7"/>
  <c r="K15" i="7"/>
  <c r="J15" i="7"/>
  <c r="AV14" i="7"/>
  <c r="AU14" i="7"/>
  <c r="AQ14" i="7"/>
  <c r="AW14" i="7" s="1"/>
  <c r="AK14" i="7"/>
  <c r="AJ14" i="7"/>
  <c r="AE14" i="7"/>
  <c r="AL14" i="7" s="1"/>
  <c r="U14" i="7"/>
  <c r="Y14" i="7" s="1"/>
  <c r="T14" i="7"/>
  <c r="X14" i="7" s="1"/>
  <c r="P14" i="7"/>
  <c r="V14" i="7" s="1"/>
  <c r="K14" i="7"/>
  <c r="J14" i="7"/>
  <c r="F14" i="7"/>
  <c r="L14" i="7" s="1"/>
  <c r="BQ13" i="7"/>
  <c r="BP13" i="7"/>
  <c r="BL13" i="7"/>
  <c r="BR13" i="7" s="1"/>
  <c r="BG13" i="7"/>
  <c r="BF13" i="7"/>
  <c r="BB13" i="7"/>
  <c r="BH13" i="7" s="1"/>
  <c r="AV13" i="7"/>
  <c r="AU13" i="7"/>
  <c r="AQ13" i="7"/>
  <c r="AW13" i="7" s="1"/>
  <c r="AK13" i="7"/>
  <c r="AJ13" i="7"/>
  <c r="AE13" i="7"/>
  <c r="AL13" i="7" s="1"/>
  <c r="U13" i="7"/>
  <c r="Y13" i="7" s="1"/>
  <c r="T13" i="7"/>
  <c r="X13" i="7" s="1"/>
  <c r="P13" i="7"/>
  <c r="V13" i="7" s="1"/>
  <c r="K13" i="7"/>
  <c r="J13" i="7"/>
  <c r="F13" i="7"/>
  <c r="L13" i="7" s="1"/>
  <c r="BQ12" i="7"/>
  <c r="BP12" i="7"/>
  <c r="BL12" i="7"/>
  <c r="BR12" i="7" s="1"/>
  <c r="BG12" i="7"/>
  <c r="BF12" i="7"/>
  <c r="BB12" i="7"/>
  <c r="BH12" i="7" s="1"/>
  <c r="AV12" i="7"/>
  <c r="AU12" i="7"/>
  <c r="AQ12" i="7"/>
  <c r="AW12" i="7" s="1"/>
  <c r="AK12" i="7"/>
  <c r="AJ12" i="7"/>
  <c r="AE12" i="7"/>
  <c r="AL12" i="7" s="1"/>
  <c r="U12" i="7"/>
  <c r="Y12" i="7" s="1"/>
  <c r="T12" i="7"/>
  <c r="X12" i="7" s="1"/>
  <c r="P12" i="7"/>
  <c r="V12" i="7" s="1"/>
  <c r="K12" i="7"/>
  <c r="J12" i="7"/>
  <c r="F12" i="7"/>
  <c r="L12" i="7" s="1"/>
  <c r="BQ11" i="7"/>
  <c r="BP11" i="7"/>
  <c r="BL11" i="7"/>
  <c r="BR11" i="7" s="1"/>
  <c r="BG11" i="7"/>
  <c r="BF11" i="7"/>
  <c r="BB11" i="7"/>
  <c r="BH11" i="7" s="1"/>
  <c r="AV11" i="7"/>
  <c r="AU11" i="7"/>
  <c r="AQ11" i="7"/>
  <c r="AW11" i="7" s="1"/>
  <c r="AK11" i="7"/>
  <c r="AJ11" i="7"/>
  <c r="AE11" i="7"/>
  <c r="AL11" i="7" s="1"/>
  <c r="U11" i="7"/>
  <c r="Y11" i="7" s="1"/>
  <c r="T11" i="7"/>
  <c r="X11" i="7" s="1"/>
  <c r="P11" i="7"/>
  <c r="V11" i="7" s="1"/>
  <c r="K11" i="7"/>
  <c r="J11" i="7"/>
  <c r="F11" i="7"/>
  <c r="L11" i="7" s="1"/>
  <c r="BQ10" i="7"/>
  <c r="BP10" i="7"/>
  <c r="BL10" i="7"/>
  <c r="BR10" i="7" s="1"/>
  <c r="BG10" i="7"/>
  <c r="BF10" i="7"/>
  <c r="BB10" i="7"/>
  <c r="BH10" i="7" s="1"/>
  <c r="AV10" i="7"/>
  <c r="AU10" i="7"/>
  <c r="AQ10" i="7"/>
  <c r="AW10" i="7" s="1"/>
  <c r="AK10" i="7"/>
  <c r="AJ10" i="7"/>
  <c r="AE10" i="7"/>
  <c r="AL10" i="7" s="1"/>
  <c r="U10" i="7"/>
  <c r="Y10" i="7" s="1"/>
  <c r="T10" i="7"/>
  <c r="X10" i="7" s="1"/>
  <c r="P10" i="7"/>
  <c r="V10" i="7" s="1"/>
  <c r="K10" i="7"/>
  <c r="J10" i="7"/>
  <c r="F10" i="7"/>
  <c r="L10" i="7" s="1"/>
  <c r="BQ9" i="7"/>
  <c r="BP9" i="7"/>
  <c r="BL9" i="7"/>
  <c r="BR9" i="7" s="1"/>
  <c r="BG9" i="7"/>
  <c r="BF9" i="7"/>
  <c r="BB9" i="7"/>
  <c r="BH9" i="7" s="1"/>
  <c r="AV9" i="7"/>
  <c r="AU9" i="7"/>
  <c r="AQ9" i="7"/>
  <c r="AW9" i="7" s="1"/>
  <c r="AK9" i="7"/>
  <c r="AJ9" i="7"/>
  <c r="AE9" i="7"/>
  <c r="AL9" i="7" s="1"/>
  <c r="U9" i="7"/>
  <c r="Y9" i="7" s="1"/>
  <c r="T9" i="7"/>
  <c r="X9" i="7" s="1"/>
  <c r="P9" i="7"/>
  <c r="V9" i="7" s="1"/>
  <c r="K9" i="7"/>
  <c r="J9" i="7"/>
  <c r="F9" i="7"/>
  <c r="L9" i="7" s="1"/>
  <c r="BQ8" i="7"/>
  <c r="BP8" i="7"/>
  <c r="BL8" i="7"/>
  <c r="BG8" i="7"/>
  <c r="BF8" i="7"/>
  <c r="BB8" i="7"/>
  <c r="AV8" i="7"/>
  <c r="AU8" i="7"/>
  <c r="AQ8" i="7"/>
  <c r="AK8" i="7"/>
  <c r="AJ8" i="7"/>
  <c r="AE8" i="7"/>
  <c r="AL8" i="7" s="1"/>
  <c r="U8" i="7"/>
  <c r="T8" i="7"/>
  <c r="X8" i="7" s="1"/>
  <c r="P8" i="7"/>
  <c r="V8" i="7" s="1"/>
  <c r="K8" i="7"/>
  <c r="J8" i="7"/>
  <c r="F8" i="7"/>
  <c r="L8" i="7" s="1"/>
  <c r="G51" i="7" l="1"/>
  <c r="I36" i="7"/>
  <c r="BB90" i="7"/>
  <c r="L17" i="7"/>
  <c r="BE51" i="7"/>
  <c r="J120" i="7"/>
  <c r="K120" i="7"/>
  <c r="L118" i="7"/>
  <c r="L120" i="7" s="1"/>
  <c r="F120" i="7"/>
  <c r="J113" i="7"/>
  <c r="G117" i="7"/>
  <c r="AL127" i="7"/>
  <c r="F51" i="7"/>
  <c r="BG129" i="7"/>
  <c r="BQ129" i="7"/>
  <c r="AX24" i="7"/>
  <c r="AX21" i="7"/>
  <c r="AM24" i="7"/>
  <c r="K83" i="7"/>
  <c r="AU83" i="7"/>
  <c r="AK105" i="7"/>
  <c r="BH109" i="7"/>
  <c r="BR109" i="7"/>
  <c r="BH114" i="7"/>
  <c r="AM20" i="7"/>
  <c r="AK100" i="7"/>
  <c r="AL107" i="7"/>
  <c r="BH108" i="7"/>
  <c r="L130" i="7"/>
  <c r="L131" i="7" s="1"/>
  <c r="V130" i="7"/>
  <c r="V131" i="7" s="1"/>
  <c r="K100" i="7"/>
  <c r="AL111" i="7"/>
  <c r="Z37" i="7"/>
  <c r="AA37" i="7" s="1"/>
  <c r="AM54" i="7"/>
  <c r="BQ112" i="7"/>
  <c r="V118" i="7"/>
  <c r="V120" i="7" s="1"/>
  <c r="Z11" i="7"/>
  <c r="AA11" i="7" s="1"/>
  <c r="AM12" i="7"/>
  <c r="Z18" i="7"/>
  <c r="AA18" i="7" s="1"/>
  <c r="BM7" i="7"/>
  <c r="AX69" i="7"/>
  <c r="Z79" i="7"/>
  <c r="AA79" i="7" s="1"/>
  <c r="AM124" i="7"/>
  <c r="AM125" i="7"/>
  <c r="Z23" i="7"/>
  <c r="AA23" i="7" s="1"/>
  <c r="AU26" i="7"/>
  <c r="AU30" i="7"/>
  <c r="BP51" i="7"/>
  <c r="AL52" i="7"/>
  <c r="J53" i="7"/>
  <c r="AM96" i="7"/>
  <c r="J100" i="7"/>
  <c r="AX103" i="7"/>
  <c r="J110" i="7"/>
  <c r="BH110" i="7"/>
  <c r="BR110" i="7"/>
  <c r="L111" i="7"/>
  <c r="BH115" i="7"/>
  <c r="X121" i="7"/>
  <c r="X122" i="7" s="1"/>
  <c r="AL121" i="7"/>
  <c r="AX121" i="7" s="1"/>
  <c r="AX122" i="7" s="1"/>
  <c r="AM18" i="7"/>
  <c r="AM28" i="7"/>
  <c r="BB39" i="7"/>
  <c r="BH39" i="7" s="1"/>
  <c r="AE64" i="7"/>
  <c r="U65" i="7"/>
  <c r="Y65" i="7" s="1"/>
  <c r="Y77" i="7" s="1"/>
  <c r="AM67" i="7"/>
  <c r="AM14" i="7"/>
  <c r="BF39" i="7"/>
  <c r="BF51" i="7" s="1"/>
  <c r="K52" i="7"/>
  <c r="K57" i="7" s="1"/>
  <c r="U52" i="7"/>
  <c r="Y52" i="7" s="1"/>
  <c r="Y57" i="7" s="1"/>
  <c r="T59" i="7"/>
  <c r="AJ64" i="7"/>
  <c r="BG90" i="7"/>
  <c r="AX95" i="7"/>
  <c r="BP117" i="7"/>
  <c r="Y118" i="7"/>
  <c r="Y120" i="7" s="1"/>
  <c r="Z22" i="7"/>
  <c r="AA22" i="7" s="1"/>
  <c r="BP34" i="7"/>
  <c r="Z40" i="7"/>
  <c r="AA40" i="7" s="1"/>
  <c r="Z66" i="7"/>
  <c r="AA66" i="7" s="1"/>
  <c r="AJ100" i="7"/>
  <c r="AU100" i="7"/>
  <c r="AL115" i="7"/>
  <c r="AX115" i="7" s="1"/>
  <c r="BH118" i="7"/>
  <c r="BR118" i="7"/>
  <c r="AK64" i="7"/>
  <c r="AX66" i="7"/>
  <c r="AX85" i="7"/>
  <c r="AM99" i="7"/>
  <c r="BR114" i="7"/>
  <c r="P122" i="7"/>
  <c r="AM27" i="7"/>
  <c r="AM55" i="7"/>
  <c r="Z12" i="7"/>
  <c r="AA12" i="7" s="1"/>
  <c r="AM19" i="7"/>
  <c r="J26" i="7"/>
  <c r="J34" i="7" s="1"/>
  <c r="BH26" i="7"/>
  <c r="BR26" i="7"/>
  <c r="BD7" i="7"/>
  <c r="Z38" i="7"/>
  <c r="AA38" i="7" s="1"/>
  <c r="AS57" i="7"/>
  <c r="AV59" i="7"/>
  <c r="BP77" i="7"/>
  <c r="BF112" i="7"/>
  <c r="P117" i="7"/>
  <c r="BG127" i="7"/>
  <c r="K128" i="7"/>
  <c r="K129" i="7" s="1"/>
  <c r="U128" i="7"/>
  <c r="U129" i="7" s="1"/>
  <c r="T107" i="7"/>
  <c r="X107" i="7" s="1"/>
  <c r="Z107" i="7" s="1"/>
  <c r="S107" i="7"/>
  <c r="V107" i="7" s="1"/>
  <c r="AX10" i="7"/>
  <c r="BB16" i="7"/>
  <c r="BH16" i="7" s="1"/>
  <c r="Z13" i="7"/>
  <c r="AA13" i="7" s="1"/>
  <c r="AM21" i="7"/>
  <c r="AU22" i="7"/>
  <c r="AU25" i="7" s="1"/>
  <c r="Z10" i="7"/>
  <c r="AA10" i="7" s="1"/>
  <c r="AX28" i="7"/>
  <c r="AM30" i="7"/>
  <c r="J36" i="7"/>
  <c r="L36" i="7"/>
  <c r="AX38" i="7"/>
  <c r="BG58" i="7"/>
  <c r="BA59" i="7"/>
  <c r="BG59" i="7" s="1"/>
  <c r="BA77" i="7"/>
  <c r="BB66" i="7"/>
  <c r="BH66" i="7" s="1"/>
  <c r="AX93" i="7"/>
  <c r="AM103" i="7"/>
  <c r="Z21" i="7"/>
  <c r="AA21" i="7" s="1"/>
  <c r="Z28" i="7"/>
  <c r="AA28" i="7" s="1"/>
  <c r="J107" i="7"/>
  <c r="I107" i="7"/>
  <c r="L107" i="7" s="1"/>
  <c r="Q129" i="7"/>
  <c r="T128" i="7"/>
  <c r="X128" i="7" s="1"/>
  <c r="AM11" i="7"/>
  <c r="BN7" i="7"/>
  <c r="AK16" i="7"/>
  <c r="AX22" i="7"/>
  <c r="AM29" i="7"/>
  <c r="Z54" i="7"/>
  <c r="AA54" i="7" s="1"/>
  <c r="AM80" i="7"/>
  <c r="T131" i="7"/>
  <c r="X130" i="7"/>
  <c r="X131" i="7" s="1"/>
  <c r="Z31" i="7"/>
  <c r="AA31" i="7" s="1"/>
  <c r="AM37" i="7"/>
  <c r="BE57" i="7"/>
  <c r="AE53" i="7"/>
  <c r="AL53" i="7" s="1"/>
  <c r="BF57" i="7"/>
  <c r="S65" i="7"/>
  <c r="S77" i="7" s="1"/>
  <c r="BG83" i="7"/>
  <c r="AK90" i="7"/>
  <c r="AV84" i="7"/>
  <c r="AV90" i="7" s="1"/>
  <c r="AM94" i="7"/>
  <c r="P100" i="7"/>
  <c r="AE100" i="7"/>
  <c r="AJ105" i="7"/>
  <c r="BR106" i="7"/>
  <c r="BR107" i="7"/>
  <c r="AL110" i="7"/>
  <c r="AJ117" i="7"/>
  <c r="BH116" i="7"/>
  <c r="BR116" i="7"/>
  <c r="AZ122" i="7"/>
  <c r="BB122" i="7" s="1"/>
  <c r="BH122" i="7" s="1"/>
  <c r="BH129" i="7"/>
  <c r="BR129" i="7"/>
  <c r="K59" i="7"/>
  <c r="Z85" i="7"/>
  <c r="AA85" i="7" s="1"/>
  <c r="AK97" i="7"/>
  <c r="U100" i="7"/>
  <c r="AV100" i="7"/>
  <c r="J105" i="7"/>
  <c r="AM102" i="7"/>
  <c r="AL109" i="7"/>
  <c r="S113" i="7"/>
  <c r="V113" i="7" s="1"/>
  <c r="BB117" i="7"/>
  <c r="BL117" i="7"/>
  <c r="S114" i="7"/>
  <c r="V114" i="7" s="1"/>
  <c r="AL118" i="7"/>
  <c r="AL120" i="7" s="1"/>
  <c r="L121" i="7"/>
  <c r="L122" i="7" s="1"/>
  <c r="K127" i="7"/>
  <c r="AO127" i="7"/>
  <c r="BG34" i="7"/>
  <c r="AK51" i="7"/>
  <c r="BG51" i="7"/>
  <c r="AM38" i="7"/>
  <c r="BQ51" i="7"/>
  <c r="AM56" i="7"/>
  <c r="Z60" i="7"/>
  <c r="AA60" i="7" s="1"/>
  <c r="BF83" i="7"/>
  <c r="AJ90" i="7"/>
  <c r="BF90" i="7"/>
  <c r="BQ90" i="7"/>
  <c r="AQ117" i="7"/>
  <c r="BE117" i="7"/>
  <c r="BG117" i="7"/>
  <c r="BQ117" i="7"/>
  <c r="AX15" i="7"/>
  <c r="H34" i="7"/>
  <c r="K26" i="7"/>
  <c r="K34" i="7" s="1"/>
  <c r="T83" i="7"/>
  <c r="X78" i="7"/>
  <c r="X83" i="7" s="1"/>
  <c r="X101" i="7"/>
  <c r="X105" i="7" s="1"/>
  <c r="T105" i="7"/>
  <c r="BB105" i="7"/>
  <c r="BH105" i="7" s="1"/>
  <c r="BH101" i="7"/>
  <c r="K116" i="7"/>
  <c r="I116" i="7"/>
  <c r="L116" i="7" s="1"/>
  <c r="AQ16" i="7"/>
  <c r="AX9" i="7"/>
  <c r="AX11" i="7"/>
  <c r="Z14" i="7"/>
  <c r="AA14" i="7" s="1"/>
  <c r="AJ25" i="7"/>
  <c r="Z20" i="7"/>
  <c r="AA20" i="7" s="1"/>
  <c r="I26" i="7"/>
  <c r="I34" i="7" s="1"/>
  <c r="G57" i="7"/>
  <c r="J52" i="7"/>
  <c r="AQ58" i="7"/>
  <c r="AW58" i="7" s="1"/>
  <c r="AW59" i="7" s="1"/>
  <c r="AO59" i="7"/>
  <c r="AS77" i="7"/>
  <c r="AV65" i="7"/>
  <c r="AV77" i="7" s="1"/>
  <c r="P90" i="7"/>
  <c r="BB91" i="7"/>
  <c r="BH91" i="7" s="1"/>
  <c r="BF91" i="7"/>
  <c r="K16" i="7"/>
  <c r="AU16" i="7"/>
  <c r="AX14" i="7"/>
  <c r="K25" i="7"/>
  <c r="BG25" i="7"/>
  <c r="AS34" i="7"/>
  <c r="AV26" i="7"/>
  <c r="AV34" i="7" s="1"/>
  <c r="AJ16" i="7"/>
  <c r="AV16" i="7"/>
  <c r="BL16" i="7"/>
  <c r="BR16" i="7" s="1"/>
  <c r="T17" i="7"/>
  <c r="X17" i="7" s="1"/>
  <c r="X25" i="7" s="1"/>
  <c r="Z19" i="7"/>
  <c r="AA19" i="7" s="1"/>
  <c r="AX20" i="7"/>
  <c r="AM22" i="7"/>
  <c r="R25" i="7"/>
  <c r="AT26" i="7"/>
  <c r="AT34" i="7" s="1"/>
  <c r="AX27" i="7"/>
  <c r="AK34" i="7"/>
  <c r="BQ34" i="7"/>
  <c r="Q51" i="7"/>
  <c r="AU57" i="7"/>
  <c r="AZ77" i="7"/>
  <c r="BF67" i="7"/>
  <c r="AC77" i="7"/>
  <c r="AE68" i="7"/>
  <c r="AL68" i="7" s="1"/>
  <c r="AM68" i="7" s="1"/>
  <c r="AJ83" i="7"/>
  <c r="AV83" i="7"/>
  <c r="BH83" i="7"/>
  <c r="Z80" i="7"/>
  <c r="AA80" i="7" s="1"/>
  <c r="BL105" i="7"/>
  <c r="BR105" i="7" s="1"/>
  <c r="BR101" i="7"/>
  <c r="Q34" i="7"/>
  <c r="T26" i="7"/>
  <c r="X26" i="7" s="1"/>
  <c r="X34" i="7" s="1"/>
  <c r="U16" i="7"/>
  <c r="AM9" i="7"/>
  <c r="AM10" i="7"/>
  <c r="AX31" i="7"/>
  <c r="K35" i="7"/>
  <c r="K51" i="7" s="1"/>
  <c r="BL59" i="7"/>
  <c r="BR59" i="7" s="1"/>
  <c r="BR58" i="7"/>
  <c r="BJ64" i="7"/>
  <c r="BP64" i="7" s="1"/>
  <c r="BP60" i="7"/>
  <c r="BL60" i="7"/>
  <c r="BR60" i="7" s="1"/>
  <c r="AI65" i="7"/>
  <c r="AI77" i="7" s="1"/>
  <c r="AR129" i="7"/>
  <c r="AU128" i="7"/>
  <c r="AU129" i="7" s="1"/>
  <c r="AX13" i="7"/>
  <c r="S17" i="7"/>
  <c r="S25" i="7" s="1"/>
  <c r="BJ25" i="7"/>
  <c r="BP25" i="7" s="1"/>
  <c r="U26" i="7"/>
  <c r="Y26" i="7" s="1"/>
  <c r="Y34" i="7" s="1"/>
  <c r="Z39" i="7"/>
  <c r="AA39" i="7" s="1"/>
  <c r="AV60" i="7"/>
  <c r="AV64" i="7" s="1"/>
  <c r="BB68" i="7"/>
  <c r="BH68" i="7" s="1"/>
  <c r="BF68" i="7"/>
  <c r="AM69" i="7"/>
  <c r="J97" i="7"/>
  <c r="AM93" i="7"/>
  <c r="BQ122" i="7"/>
  <c r="BL122" i="7"/>
  <c r="BR122" i="7" s="1"/>
  <c r="K84" i="7"/>
  <c r="K90" i="7" s="1"/>
  <c r="AE90" i="7"/>
  <c r="AQ90" i="7"/>
  <c r="BL90" i="7"/>
  <c r="BR90" i="7" s="1"/>
  <c r="BP90" i="7"/>
  <c r="AV97" i="7"/>
  <c r="BL97" i="7"/>
  <c r="BR97" i="7" s="1"/>
  <c r="BR91" i="7"/>
  <c r="AX92" i="7"/>
  <c r="T100" i="7"/>
  <c r="AM104" i="7"/>
  <c r="K112" i="7"/>
  <c r="AV114" i="7"/>
  <c r="AV117" i="7" s="1"/>
  <c r="AT114" i="7"/>
  <c r="AW114" i="7" s="1"/>
  <c r="Z124" i="7"/>
  <c r="AA124" i="7" s="1"/>
  <c r="I128" i="7"/>
  <c r="I129" i="7" s="1"/>
  <c r="J128" i="7"/>
  <c r="J129" i="7" s="1"/>
  <c r="BQ25" i="7"/>
  <c r="AM33" i="7"/>
  <c r="BL34" i="7"/>
  <c r="BR34" i="7" s="1"/>
  <c r="AL35" i="7"/>
  <c r="AQ51" i="7"/>
  <c r="BH35" i="7"/>
  <c r="BL51" i="7"/>
  <c r="BH36" i="7"/>
  <c r="BR36" i="7"/>
  <c r="AX37" i="7"/>
  <c r="AM39" i="7"/>
  <c r="AR57" i="7"/>
  <c r="BH52" i="7"/>
  <c r="L53" i="7"/>
  <c r="BH53" i="7"/>
  <c r="Z55" i="7"/>
  <c r="AA55" i="7" s="1"/>
  <c r="AX56" i="7"/>
  <c r="BG57" i="7"/>
  <c r="BP57" i="7"/>
  <c r="U64" i="7"/>
  <c r="BG66" i="7"/>
  <c r="BG77" i="7" s="1"/>
  <c r="Z72" i="7"/>
  <c r="AA72" i="7" s="1"/>
  <c r="BQ77" i="7"/>
  <c r="U83" i="7"/>
  <c r="Y78" i="7"/>
  <c r="Y83" i="7" s="1"/>
  <c r="AW97" i="7"/>
  <c r="AM92" i="7"/>
  <c r="F100" i="7"/>
  <c r="U105" i="7"/>
  <c r="Y101" i="7"/>
  <c r="Y105" i="7" s="1"/>
  <c r="AU116" i="7"/>
  <c r="AT116" i="7"/>
  <c r="AW116" i="7" s="1"/>
  <c r="Z125" i="7"/>
  <c r="AA125" i="7" s="1"/>
  <c r="P131" i="7"/>
  <c r="Z30" i="7"/>
  <c r="AA30" i="7" s="1"/>
  <c r="AX30" i="7"/>
  <c r="AI51" i="7"/>
  <c r="AL36" i="7"/>
  <c r="BO51" i="7"/>
  <c r="AX39" i="7"/>
  <c r="AJ51" i="7"/>
  <c r="BO57" i="7"/>
  <c r="BQ57" i="7"/>
  <c r="J59" i="7"/>
  <c r="AK65" i="7"/>
  <c r="AK77" i="7" s="1"/>
  <c r="AQ77" i="7"/>
  <c r="BC7" i="7"/>
  <c r="Y112" i="7"/>
  <c r="AG112" i="7"/>
  <c r="AG7" i="7" s="1"/>
  <c r="AJ112" i="7"/>
  <c r="AK116" i="7"/>
  <c r="AK117" i="7" s="1"/>
  <c r="AI116" i="7"/>
  <c r="AL116" i="7" s="1"/>
  <c r="AZ127" i="7"/>
  <c r="BF127" i="7" s="1"/>
  <c r="BF124" i="7"/>
  <c r="AQ83" i="7"/>
  <c r="BB83" i="7"/>
  <c r="BL83" i="7"/>
  <c r="BR83" i="7" s="1"/>
  <c r="AX80" i="7"/>
  <c r="AU97" i="7"/>
  <c r="Z93" i="7"/>
  <c r="AA93" i="7" s="1"/>
  <c r="AX94" i="7"/>
  <c r="Z95" i="7"/>
  <c r="AA95" i="7" s="1"/>
  <c r="AE97" i="7"/>
  <c r="AQ100" i="7"/>
  <c r="BB98" i="7"/>
  <c r="BB100" i="7" s="1"/>
  <c r="BH100" i="7" s="1"/>
  <c r="AX99" i="7"/>
  <c r="AE105" i="7"/>
  <c r="AU105" i="7"/>
  <c r="AV105" i="7"/>
  <c r="T106" i="7"/>
  <c r="X106" i="7" s="1"/>
  <c r="BE112" i="7"/>
  <c r="BO112" i="7"/>
  <c r="AL108" i="7"/>
  <c r="AU109" i="7"/>
  <c r="J111" i="7"/>
  <c r="BH111" i="7"/>
  <c r="BG112" i="7"/>
  <c r="I114" i="7"/>
  <c r="L114" i="7" s="1"/>
  <c r="Z115" i="7"/>
  <c r="Y127" i="7"/>
  <c r="AK127" i="7"/>
  <c r="AX125" i="7"/>
  <c r="BL127" i="7"/>
  <c r="BR127" i="7" s="1"/>
  <c r="AV128" i="7"/>
  <c r="AV129" i="7" s="1"/>
  <c r="BF129" i="7"/>
  <c r="BP129" i="7"/>
  <c r="P112" i="7"/>
  <c r="AK112" i="7"/>
  <c r="L108" i="7"/>
  <c r="Q117" i="7"/>
  <c r="AH117" i="7"/>
  <c r="AH7" i="7" s="1"/>
  <c r="AV127" i="7"/>
  <c r="Z126" i="7"/>
  <c r="AA126" i="7" s="1"/>
  <c r="Z96" i="7"/>
  <c r="AA96" i="7" s="1"/>
  <c r="K105" i="7"/>
  <c r="Z103" i="7"/>
  <c r="AA103" i="7" s="1"/>
  <c r="F112" i="7"/>
  <c r="BB112" i="7"/>
  <c r="AT107" i="7"/>
  <c r="AW107" i="7" s="1"/>
  <c r="J108" i="7"/>
  <c r="T109" i="7"/>
  <c r="X109" i="7" s="1"/>
  <c r="Z109" i="7" s="1"/>
  <c r="BP112" i="7"/>
  <c r="AS117" i="7"/>
  <c r="BB121" i="7"/>
  <c r="BH121" i="7" s="1"/>
  <c r="Z81" i="7"/>
  <c r="AA81" i="7" s="1"/>
  <c r="P34" i="7"/>
  <c r="AE34" i="7"/>
  <c r="F34" i="7"/>
  <c r="X64" i="7"/>
  <c r="J77" i="7"/>
  <c r="Z73" i="7"/>
  <c r="AA73" i="7" s="1"/>
  <c r="F129" i="7"/>
  <c r="AA129" i="7"/>
  <c r="V16" i="7"/>
  <c r="AM8" i="7"/>
  <c r="L16" i="7"/>
  <c r="X16" i="7"/>
  <c r="Z9" i="7"/>
  <c r="AA9" i="7" s="1"/>
  <c r="AL16" i="7"/>
  <c r="I35" i="7"/>
  <c r="J35" i="7"/>
  <c r="J51" i="7" s="1"/>
  <c r="J16" i="7"/>
  <c r="Y8" i="7"/>
  <c r="Y16" i="7" s="1"/>
  <c r="BH8" i="7"/>
  <c r="BR8" i="7"/>
  <c r="G25" i="7"/>
  <c r="J17" i="7"/>
  <c r="J25" i="7" s="1"/>
  <c r="F57" i="7"/>
  <c r="AJ57" i="7"/>
  <c r="AT53" i="7"/>
  <c r="AW53" i="7" s="1"/>
  <c r="AV53" i="7"/>
  <c r="AV57" i="7" s="1"/>
  <c r="BB57" i="7"/>
  <c r="P59" i="7"/>
  <c r="V58" i="7"/>
  <c r="AE59" i="7"/>
  <c r="AL58" i="7"/>
  <c r="V64" i="7"/>
  <c r="AR90" i="7"/>
  <c r="AT84" i="7"/>
  <c r="AT90" i="7" s="1"/>
  <c r="AU84" i="7"/>
  <c r="AU90" i="7" s="1"/>
  <c r="BG16" i="7"/>
  <c r="Y17" i="7"/>
  <c r="Y25" i="7" s="1"/>
  <c r="U25" i="7"/>
  <c r="AQ17" i="7"/>
  <c r="AO25" i="7"/>
  <c r="BH17" i="7"/>
  <c r="Q53" i="7"/>
  <c r="T53" i="7" s="1"/>
  <c r="X53" i="7" s="1"/>
  <c r="Z53" i="7" s="1"/>
  <c r="N57" i="7"/>
  <c r="N132" i="7" s="1"/>
  <c r="P53" i="7"/>
  <c r="P57" i="7" s="1"/>
  <c r="F83" i="7"/>
  <c r="L78" i="7"/>
  <c r="AE83" i="7"/>
  <c r="AL78" i="7"/>
  <c r="AM78" i="7" s="1"/>
  <c r="AX91" i="7"/>
  <c r="AL97" i="7"/>
  <c r="AX12" i="7"/>
  <c r="AM15" i="7"/>
  <c r="T16" i="7"/>
  <c r="AK25" i="7"/>
  <c r="BL25" i="7"/>
  <c r="BR25" i="7" s="1"/>
  <c r="AX18" i="7"/>
  <c r="BF18" i="7"/>
  <c r="BB18" i="7"/>
  <c r="BH18" i="7" s="1"/>
  <c r="AZ25" i="7"/>
  <c r="Z27" i="7"/>
  <c r="AA27" i="7" s="1"/>
  <c r="Z29" i="7"/>
  <c r="AA29" i="7" s="1"/>
  <c r="AU29" i="7"/>
  <c r="AQ29" i="7"/>
  <c r="AW29" i="7" s="1"/>
  <c r="AX29" i="7" s="1"/>
  <c r="AO34" i="7"/>
  <c r="S35" i="7"/>
  <c r="U35" i="7"/>
  <c r="AT35" i="7"/>
  <c r="AR51" i="7"/>
  <c r="AU35" i="7"/>
  <c r="AU51" i="7" s="1"/>
  <c r="S52" i="7"/>
  <c r="T52" i="7"/>
  <c r="AQ57" i="7"/>
  <c r="BR53" i="7"/>
  <c r="AX54" i="7"/>
  <c r="AX55" i="7"/>
  <c r="R90" i="7"/>
  <c r="U84" i="7"/>
  <c r="F90" i="7"/>
  <c r="AC25" i="7"/>
  <c r="AE17" i="7"/>
  <c r="BR35" i="7"/>
  <c r="AM91" i="7"/>
  <c r="V97" i="7"/>
  <c r="F16" i="7"/>
  <c r="P16" i="7"/>
  <c r="AE16" i="7"/>
  <c r="AW8" i="7"/>
  <c r="AW16" i="7" s="1"/>
  <c r="AM13" i="7"/>
  <c r="Z15" i="7"/>
  <c r="AA15" i="7" s="1"/>
  <c r="F25" i="7"/>
  <c r="P25" i="7"/>
  <c r="AX19" i="7"/>
  <c r="AJ34" i="7"/>
  <c r="AM31" i="7"/>
  <c r="Z33" i="7"/>
  <c r="AA33" i="7" s="1"/>
  <c r="P36" i="7"/>
  <c r="R36" i="7"/>
  <c r="S36" i="7" s="1"/>
  <c r="AT36" i="7"/>
  <c r="AW36" i="7" s="1"/>
  <c r="AV36" i="7"/>
  <c r="AV51" i="7" s="1"/>
  <c r="O51" i="7"/>
  <c r="O132" i="7" s="1"/>
  <c r="AS51" i="7"/>
  <c r="Z56" i="7"/>
  <c r="AA56" i="7" s="1"/>
  <c r="BL100" i="7"/>
  <c r="BR100" i="7" s="1"/>
  <c r="BR98" i="7"/>
  <c r="AU108" i="7"/>
  <c r="AT108" i="7"/>
  <c r="AW108" i="7" s="1"/>
  <c r="W7" i="7"/>
  <c r="W132" i="7"/>
  <c r="AF132" i="7"/>
  <c r="BP18" i="7"/>
  <c r="AD25" i="7"/>
  <c r="AD132" i="7" s="1"/>
  <c r="BD132" i="7"/>
  <c r="S26" i="7"/>
  <c r="S34" i="7" s="1"/>
  <c r="AL26" i="7"/>
  <c r="BB34" i="7"/>
  <c r="BH34" i="7" s="1"/>
  <c r="AE51" i="7"/>
  <c r="I52" i="7"/>
  <c r="I57" i="7" s="1"/>
  <c r="AI57" i="7"/>
  <c r="AT52" i="7"/>
  <c r="AC57" i="7"/>
  <c r="Y64" i="7"/>
  <c r="AQ60" i="7"/>
  <c r="AU60" i="7"/>
  <c r="AU64" i="7" s="1"/>
  <c r="Z63" i="7"/>
  <c r="L64" i="7"/>
  <c r="BA64" i="7"/>
  <c r="BG64" i="7" s="1"/>
  <c r="H77" i="7"/>
  <c r="I65" i="7"/>
  <c r="K65" i="7"/>
  <c r="K77" i="7" s="1"/>
  <c r="AT65" i="7"/>
  <c r="AR77" i="7"/>
  <c r="AU65" i="7"/>
  <c r="AU77" i="7" s="1"/>
  <c r="F77" i="7"/>
  <c r="V83" i="7"/>
  <c r="AW83" i="7"/>
  <c r="AM79" i="7"/>
  <c r="Z82" i="7"/>
  <c r="AA82" i="7" s="1"/>
  <c r="P83" i="7"/>
  <c r="I84" i="7"/>
  <c r="I90" i="7" s="1"/>
  <c r="G90" i="7"/>
  <c r="J84" i="7"/>
  <c r="J90" i="7" s="1"/>
  <c r="BR84" i="7"/>
  <c r="AM85" i="7"/>
  <c r="AP132" i="7"/>
  <c r="AV17" i="7"/>
  <c r="AV25" i="7" s="1"/>
  <c r="BR17" i="7"/>
  <c r="AZ34" i="7"/>
  <c r="BF34" i="7" s="1"/>
  <c r="AK57" i="7"/>
  <c r="BL57" i="7"/>
  <c r="BR52" i="7"/>
  <c r="F59" i="7"/>
  <c r="L58" i="7"/>
  <c r="Z67" i="7"/>
  <c r="AA67" i="7" s="1"/>
  <c r="Z70" i="7"/>
  <c r="AA70" i="7" s="1"/>
  <c r="J83" i="7"/>
  <c r="AX79" i="7"/>
  <c r="L100" i="7"/>
  <c r="AM98" i="7"/>
  <c r="V100" i="7"/>
  <c r="AE117" i="7"/>
  <c r="BR113" i="7"/>
  <c r="BF16" i="7"/>
  <c r="BC132" i="7"/>
  <c r="T35" i="7"/>
  <c r="T64" i="7"/>
  <c r="P77" i="7"/>
  <c r="BH65" i="7"/>
  <c r="BL77" i="7"/>
  <c r="BR77" i="7" s="1"/>
  <c r="BR65" i="7"/>
  <c r="AM66" i="7"/>
  <c r="AX67" i="7"/>
  <c r="Z68" i="7"/>
  <c r="AA68" i="7" s="1"/>
  <c r="Z69" i="7"/>
  <c r="AA69" i="7" s="1"/>
  <c r="AK83" i="7"/>
  <c r="Z92" i="7"/>
  <c r="AA92" i="7" s="1"/>
  <c r="J109" i="7"/>
  <c r="I109" i="7"/>
  <c r="L109" i="7" s="1"/>
  <c r="AU58" i="7"/>
  <c r="AU59" i="7" s="1"/>
  <c r="AZ59" i="7"/>
  <c r="BF59" i="7" s="1"/>
  <c r="P64" i="7"/>
  <c r="AZ64" i="7"/>
  <c r="BF64" i="7" s="1"/>
  <c r="BB67" i="7"/>
  <c r="BH67" i="7" s="1"/>
  <c r="BH90" i="7"/>
  <c r="BH84" i="7"/>
  <c r="K97" i="7"/>
  <c r="Y97" i="7"/>
  <c r="AR112" i="7"/>
  <c r="T108" i="7"/>
  <c r="X108" i="7" s="1"/>
  <c r="Z108" i="7" s="1"/>
  <c r="S108" i="7"/>
  <c r="V108" i="7" s="1"/>
  <c r="BR108" i="7"/>
  <c r="V109" i="7"/>
  <c r="V110" i="7"/>
  <c r="AM110" i="7" s="1"/>
  <c r="AW110" i="7"/>
  <c r="Q112" i="7"/>
  <c r="AL114" i="7"/>
  <c r="BR115" i="7"/>
  <c r="Y58" i="7"/>
  <c r="Y59" i="7" s="1"/>
  <c r="BB58" i="7"/>
  <c r="BB60" i="7"/>
  <c r="BQ60" i="7"/>
  <c r="F64" i="7"/>
  <c r="T65" i="7"/>
  <c r="AJ68" i="7"/>
  <c r="AJ77" i="7" s="1"/>
  <c r="S84" i="7"/>
  <c r="AL84" i="7"/>
  <c r="L97" i="7"/>
  <c r="T97" i="7"/>
  <c r="X91" i="7"/>
  <c r="AJ97" i="7"/>
  <c r="Z94" i="7"/>
  <c r="AA94" i="7" s="1"/>
  <c r="AL100" i="7"/>
  <c r="Z99" i="7"/>
  <c r="AA99" i="7" s="1"/>
  <c r="AQ105" i="7"/>
  <c r="AW101" i="7"/>
  <c r="AW105" i="7" s="1"/>
  <c r="AX102" i="7"/>
  <c r="AX104" i="7"/>
  <c r="L105" i="7"/>
  <c r="J106" i="7"/>
  <c r="I106" i="7"/>
  <c r="G112" i="7"/>
  <c r="V106" i="7"/>
  <c r="AE112" i="7"/>
  <c r="AV112" i="7"/>
  <c r="BH107" i="7"/>
  <c r="AW109" i="7"/>
  <c r="T111" i="7"/>
  <c r="X111" i="7" s="1"/>
  <c r="Z111" i="7" s="1"/>
  <c r="S111" i="7"/>
  <c r="V111" i="7" s="1"/>
  <c r="BR111" i="7"/>
  <c r="U112" i="7"/>
  <c r="H117" i="7"/>
  <c r="K113" i="7"/>
  <c r="U117" i="7"/>
  <c r="Y113" i="7"/>
  <c r="Y117" i="7" s="1"/>
  <c r="AR117" i="7"/>
  <c r="AT113" i="7"/>
  <c r="AU113" i="7"/>
  <c r="Z114" i="7"/>
  <c r="S116" i="7"/>
  <c r="V116" i="7" s="1"/>
  <c r="T116" i="7"/>
  <c r="X116" i="7" s="1"/>
  <c r="Z116" i="7" s="1"/>
  <c r="F117" i="7"/>
  <c r="J127" i="7"/>
  <c r="AQ129" i="7"/>
  <c r="AL60" i="7"/>
  <c r="T84" i="7"/>
  <c r="U97" i="7"/>
  <c r="BF92" i="7"/>
  <c r="BB92" i="7"/>
  <c r="BH92" i="7" s="1"/>
  <c r="AM95" i="7"/>
  <c r="AQ97" i="7"/>
  <c r="V105" i="7"/>
  <c r="Z102" i="7"/>
  <c r="AA102" i="7" s="1"/>
  <c r="Z104" i="7"/>
  <c r="AA104" i="7" s="1"/>
  <c r="BH106" i="7"/>
  <c r="L110" i="7"/>
  <c r="AU111" i="7"/>
  <c r="AT111" i="7"/>
  <c r="AW111" i="7" s="1"/>
  <c r="AQ112" i="7"/>
  <c r="I115" i="7"/>
  <c r="L115" i="7" s="1"/>
  <c r="J115" i="7"/>
  <c r="F127" i="7"/>
  <c r="L123" i="7"/>
  <c r="T127" i="7"/>
  <c r="AJ127" i="7"/>
  <c r="F97" i="7"/>
  <c r="AZ100" i="7"/>
  <c r="BF100" i="7" s="1"/>
  <c r="P105" i="7"/>
  <c r="AL106" i="7"/>
  <c r="AT106" i="7"/>
  <c r="T110" i="7"/>
  <c r="X110" i="7" s="1"/>
  <c r="Z110" i="7" s="1"/>
  <c r="AU110" i="7"/>
  <c r="BL112" i="7"/>
  <c r="BH113" i="7"/>
  <c r="R117" i="7"/>
  <c r="AM121" i="7"/>
  <c r="AM122" i="7" s="1"/>
  <c r="V122" i="7"/>
  <c r="P127" i="7"/>
  <c r="V123" i="7"/>
  <c r="P97" i="7"/>
  <c r="AZ97" i="7"/>
  <c r="BF97" i="7" s="1"/>
  <c r="X98" i="7"/>
  <c r="AW98" i="7"/>
  <c r="AW100" i="7" s="1"/>
  <c r="F105" i="7"/>
  <c r="I113" i="7"/>
  <c r="T113" i="7"/>
  <c r="BO117" i="7"/>
  <c r="S115" i="7"/>
  <c r="V115" i="7" s="1"/>
  <c r="BF117" i="7"/>
  <c r="X118" i="7"/>
  <c r="X120" i="7" s="1"/>
  <c r="AW118" i="7"/>
  <c r="AW120" i="7" s="1"/>
  <c r="AL122" i="7"/>
  <c r="AU124" i="7"/>
  <c r="AQ124" i="7"/>
  <c r="AW124" i="7" s="1"/>
  <c r="AX124" i="7" s="1"/>
  <c r="BH128" i="7"/>
  <c r="Y98" i="7"/>
  <c r="Y100" i="7" s="1"/>
  <c r="AL101" i="7"/>
  <c r="AM101" i="7" s="1"/>
  <c r="AI113" i="7"/>
  <c r="AI117" i="7" s="1"/>
  <c r="X127" i="7"/>
  <c r="Z123" i="7"/>
  <c r="AE127" i="7"/>
  <c r="P129" i="7"/>
  <c r="AQ122" i="7"/>
  <c r="AU123" i="7"/>
  <c r="BB124" i="7"/>
  <c r="BH124" i="7" s="1"/>
  <c r="U127" i="7"/>
  <c r="S128" i="7"/>
  <c r="S129" i="7" s="1"/>
  <c r="AT128" i="7"/>
  <c r="AT129" i="7" s="1"/>
  <c r="BR128" i="7"/>
  <c r="Y121" i="7"/>
  <c r="Y122" i="7" s="1"/>
  <c r="AQ123" i="7"/>
  <c r="AL128" i="7"/>
  <c r="F131" i="7"/>
  <c r="Y130" i="7"/>
  <c r="Y131" i="7" s="1"/>
  <c r="AX109" i="7" l="1"/>
  <c r="AA114" i="7"/>
  <c r="H7" i="7"/>
  <c r="G7" i="7"/>
  <c r="F7" i="7"/>
  <c r="T34" i="7"/>
  <c r="AM116" i="7"/>
  <c r="BR117" i="7"/>
  <c r="BH117" i="7"/>
  <c r="J117" i="7"/>
  <c r="BF122" i="7"/>
  <c r="BH98" i="7"/>
  <c r="I51" i="7"/>
  <c r="AH132" i="7"/>
  <c r="AX110" i="7"/>
  <c r="BL64" i="7"/>
  <c r="BR64" i="7" s="1"/>
  <c r="AM109" i="7"/>
  <c r="BR51" i="7"/>
  <c r="AM100" i="7"/>
  <c r="AX68" i="7"/>
  <c r="AM130" i="7"/>
  <c r="AM131" i="7" s="1"/>
  <c r="U77" i="7"/>
  <c r="V65" i="7"/>
  <c r="V77" i="7" s="1"/>
  <c r="AX111" i="7"/>
  <c r="AA111" i="7"/>
  <c r="AL57" i="7"/>
  <c r="AU117" i="7"/>
  <c r="AM111" i="7"/>
  <c r="BB51" i="7"/>
  <c r="BR57" i="7"/>
  <c r="AT57" i="7"/>
  <c r="T25" i="7"/>
  <c r="AE57" i="7"/>
  <c r="AX53" i="7"/>
  <c r="AX107" i="7"/>
  <c r="AL51" i="7"/>
  <c r="AA107" i="7"/>
  <c r="AA108" i="7"/>
  <c r="AX36" i="7"/>
  <c r="AM105" i="7"/>
  <c r="T129" i="7"/>
  <c r="AM115" i="7"/>
  <c r="J57" i="7"/>
  <c r="L128" i="7"/>
  <c r="L129" i="7" s="1"/>
  <c r="AQ59" i="7"/>
  <c r="BE132" i="7"/>
  <c r="AM118" i="7"/>
  <c r="AM120" i="7" s="1"/>
  <c r="AU34" i="7"/>
  <c r="Z78" i="7"/>
  <c r="AA78" i="7" s="1"/>
  <c r="AA83" i="7" s="1"/>
  <c r="AL65" i="7"/>
  <c r="V17" i="7"/>
  <c r="V25" i="7" s="1"/>
  <c r="AA53" i="7"/>
  <c r="BH57" i="7"/>
  <c r="BR112" i="7"/>
  <c r="AA115" i="7"/>
  <c r="AG132" i="7"/>
  <c r="BE7" i="7"/>
  <c r="Z127" i="7"/>
  <c r="AA116" i="7"/>
  <c r="AT117" i="7"/>
  <c r="AS132" i="7"/>
  <c r="Y128" i="7"/>
  <c r="Y129" i="7" s="1"/>
  <c r="AM107" i="7"/>
  <c r="U57" i="7"/>
  <c r="AX116" i="7"/>
  <c r="AA63" i="7"/>
  <c r="AA64" i="7" s="1"/>
  <c r="K117" i="7"/>
  <c r="J63" i="7"/>
  <c r="J64" i="7" s="1"/>
  <c r="AM83" i="7"/>
  <c r="Z26" i="7"/>
  <c r="Z34" i="7" s="1"/>
  <c r="BB127" i="7"/>
  <c r="BH127" i="7" s="1"/>
  <c r="J112" i="7"/>
  <c r="L84" i="7"/>
  <c r="L90" i="7" s="1"/>
  <c r="Z64" i="7"/>
  <c r="V36" i="7"/>
  <c r="AM36" i="7" s="1"/>
  <c r="AC132" i="7"/>
  <c r="BH112" i="7"/>
  <c r="BB97" i="7"/>
  <c r="BH97" i="7" s="1"/>
  <c r="AO132" i="7"/>
  <c r="AU127" i="7"/>
  <c r="U36" i="7"/>
  <c r="Y36" i="7" s="1"/>
  <c r="Z36" i="7" s="1"/>
  <c r="AA36" i="7" s="1"/>
  <c r="AX108" i="7"/>
  <c r="BH51" i="7"/>
  <c r="V26" i="7"/>
  <c r="AM26" i="7" s="1"/>
  <c r="AM34" i="7" s="1"/>
  <c r="AM108" i="7"/>
  <c r="U34" i="7"/>
  <c r="AX97" i="7"/>
  <c r="AX8" i="7"/>
  <c r="AX16" i="7" s="1"/>
  <c r="AE77" i="7"/>
  <c r="BF77" i="7"/>
  <c r="BH77" i="7"/>
  <c r="L26" i="7"/>
  <c r="L34" i="7" s="1"/>
  <c r="AU112" i="7"/>
  <c r="AW26" i="7"/>
  <c r="AW34" i="7" s="1"/>
  <c r="Z101" i="7"/>
  <c r="AA101" i="7" s="1"/>
  <c r="AA105" i="7" s="1"/>
  <c r="AV132" i="7"/>
  <c r="AJ132" i="7"/>
  <c r="AR7" i="7"/>
  <c r="AA77" i="7"/>
  <c r="I112" i="7"/>
  <c r="L106" i="7"/>
  <c r="T77" i="7"/>
  <c r="X65" i="7"/>
  <c r="T51" i="7"/>
  <c r="X35" i="7"/>
  <c r="AM97" i="7"/>
  <c r="AL59" i="7"/>
  <c r="AX58" i="7"/>
  <c r="AX59" i="7" s="1"/>
  <c r="V128" i="7"/>
  <c r="Z118" i="7"/>
  <c r="Z120" i="7" s="1"/>
  <c r="I117" i="7"/>
  <c r="L113" i="7"/>
  <c r="L117" i="7" s="1"/>
  <c r="AW106" i="7"/>
  <c r="AW112" i="7" s="1"/>
  <c r="AT112" i="7"/>
  <c r="AA110" i="7"/>
  <c r="T112" i="7"/>
  <c r="AW128" i="7"/>
  <c r="AW129" i="7" s="1"/>
  <c r="X97" i="7"/>
  <c r="Z91" i="7"/>
  <c r="AW84" i="7"/>
  <c r="AW90" i="7" s="1"/>
  <c r="BB64" i="7"/>
  <c r="BH64" i="7" s="1"/>
  <c r="BH60" i="7"/>
  <c r="AS7" i="7"/>
  <c r="Z58" i="7"/>
  <c r="Z59" i="7" s="1"/>
  <c r="AW52" i="7"/>
  <c r="X52" i="7"/>
  <c r="T57" i="7"/>
  <c r="V35" i="7"/>
  <c r="S51" i="7"/>
  <c r="AQ34" i="7"/>
  <c r="BF25" i="7"/>
  <c r="AZ7" i="7"/>
  <c r="L83" i="7"/>
  <c r="P51" i="7"/>
  <c r="P132" i="7" s="1"/>
  <c r="Z17" i="7"/>
  <c r="Z25" i="7" s="1"/>
  <c r="I25" i="7"/>
  <c r="L35" i="7"/>
  <c r="L51" i="7" s="1"/>
  <c r="BO7" i="7"/>
  <c r="T90" i="7"/>
  <c r="X84" i="7"/>
  <c r="BB59" i="7"/>
  <c r="BH59" i="7" s="1"/>
  <c r="BH58" i="7"/>
  <c r="I77" i="7"/>
  <c r="L65" i="7"/>
  <c r="L77" i="7" s="1"/>
  <c r="AZ132" i="7"/>
  <c r="U90" i="7"/>
  <c r="Y84" i="7"/>
  <c r="Y90" i="7" s="1"/>
  <c r="V52" i="7"/>
  <c r="AT51" i="7"/>
  <c r="AW35" i="7"/>
  <c r="BG132" i="7"/>
  <c r="BG7" i="7"/>
  <c r="AL129" i="7"/>
  <c r="Z121" i="7"/>
  <c r="X129" i="7"/>
  <c r="AX118" i="7"/>
  <c r="AX120" i="7" s="1"/>
  <c r="AW113" i="7"/>
  <c r="AW117" i="7" s="1"/>
  <c r="AI112" i="7"/>
  <c r="AI7" i="7" s="1"/>
  <c r="AL64" i="7"/>
  <c r="S117" i="7"/>
  <c r="V112" i="7"/>
  <c r="AM106" i="7"/>
  <c r="AX98" i="7"/>
  <c r="AX100" i="7" s="1"/>
  <c r="V84" i="7"/>
  <c r="S90" i="7"/>
  <c r="BB77" i="7"/>
  <c r="AT77" i="7"/>
  <c r="AW65" i="7"/>
  <c r="AW77" i="7" s="1"/>
  <c r="Y35" i="7"/>
  <c r="AX78" i="7"/>
  <c r="AX83" i="7" s="1"/>
  <c r="AL83" i="7"/>
  <c r="S53" i="7"/>
  <c r="S57" i="7" s="1"/>
  <c r="Q57" i="7"/>
  <c r="AR132" i="7"/>
  <c r="AW17" i="7"/>
  <c r="AW25" i="7" s="1"/>
  <c r="AQ25" i="7"/>
  <c r="BA132" i="7"/>
  <c r="AK132" i="7"/>
  <c r="L52" i="7"/>
  <c r="AM16" i="7"/>
  <c r="AW123" i="7"/>
  <c r="AQ127" i="7"/>
  <c r="Z130" i="7"/>
  <c r="AM123" i="7"/>
  <c r="AM127" i="7" s="1"/>
  <c r="V127" i="7"/>
  <c r="AL112" i="7"/>
  <c r="L127" i="7"/>
  <c r="AA123" i="7"/>
  <c r="AA127" i="7" s="1"/>
  <c r="AL90" i="7"/>
  <c r="AA109" i="7"/>
  <c r="AQ64" i="7"/>
  <c r="AW60" i="7"/>
  <c r="AW64" i="7" s="1"/>
  <c r="AL34" i="7"/>
  <c r="AL105" i="7"/>
  <c r="AX101" i="7"/>
  <c r="AX105" i="7" s="1"/>
  <c r="T117" i="7"/>
  <c r="X113" i="7"/>
  <c r="X100" i="7"/>
  <c r="Z98" i="7"/>
  <c r="V117" i="7"/>
  <c r="Z106" i="7"/>
  <c r="Z112" i="7" s="1"/>
  <c r="X112" i="7"/>
  <c r="S112" i="7"/>
  <c r="AM114" i="7"/>
  <c r="AX114" i="7"/>
  <c r="AL113" i="7"/>
  <c r="L59" i="7"/>
  <c r="K63" i="7"/>
  <c r="K64" i="7" s="1"/>
  <c r="E64" i="7"/>
  <c r="E7" i="7" s="1"/>
  <c r="AL17" i="7"/>
  <c r="AE25" i="7"/>
  <c r="R51" i="7"/>
  <c r="BA7" i="7"/>
  <c r="AM60" i="7"/>
  <c r="AM64" i="7" s="1"/>
  <c r="V59" i="7"/>
  <c r="AM58" i="7"/>
  <c r="AM59" i="7" s="1"/>
  <c r="BB25" i="7"/>
  <c r="Z8" i="7"/>
  <c r="I132" i="7" l="1"/>
  <c r="I7" i="7" s="1"/>
  <c r="J7" i="7"/>
  <c r="K7" i="7"/>
  <c r="Z83" i="7"/>
  <c r="Z128" i="7"/>
  <c r="Z129" i="7" s="1"/>
  <c r="AM65" i="7"/>
  <c r="AM77" i="7" s="1"/>
  <c r="AL77" i="7"/>
  <c r="AE7" i="7"/>
  <c r="AM17" i="7"/>
  <c r="AM25" i="7" s="1"/>
  <c r="V34" i="7"/>
  <c r="AA58" i="7"/>
  <c r="AA59" i="7" s="1"/>
  <c r="AX106" i="7"/>
  <c r="AX112" i="7" s="1"/>
  <c r="Y51" i="7"/>
  <c r="Y132" i="7" s="1"/>
  <c r="AX65" i="7"/>
  <c r="AX77" i="7" s="1"/>
  <c r="D64" i="7"/>
  <c r="D132" i="7" s="1"/>
  <c r="D7" i="7" s="1"/>
  <c r="U51" i="7"/>
  <c r="U132" i="7" s="1"/>
  <c r="AA26" i="7"/>
  <c r="AA34" i="7" s="1"/>
  <c r="AX26" i="7"/>
  <c r="AX34" i="7" s="1"/>
  <c r="BF132" i="7"/>
  <c r="AU132" i="7"/>
  <c r="AX128" i="7"/>
  <c r="AX129" i="7" s="1"/>
  <c r="AE132" i="7"/>
  <c r="AX84" i="7"/>
  <c r="AX90" i="7" s="1"/>
  <c r="Z105" i="7"/>
  <c r="AM112" i="7"/>
  <c r="S7" i="7"/>
  <c r="T132" i="7"/>
  <c r="S132" i="7"/>
  <c r="BF7" i="7"/>
  <c r="Q7" i="7"/>
  <c r="Q132" i="7"/>
  <c r="AT7" i="7"/>
  <c r="AT132" i="7"/>
  <c r="L25" i="7"/>
  <c r="AA17" i="7"/>
  <c r="AA25" i="7" s="1"/>
  <c r="AW57" i="7"/>
  <c r="AX52" i="7"/>
  <c r="AX57" i="7" s="1"/>
  <c r="BP7" i="7"/>
  <c r="BJ7" i="7"/>
  <c r="Z131" i="7"/>
  <c r="AA130" i="7"/>
  <c r="AA131" i="7" s="1"/>
  <c r="AW51" i="7"/>
  <c r="AX35" i="7"/>
  <c r="AX51" i="7" s="1"/>
  <c r="V53" i="7"/>
  <c r="AM53" i="7" s="1"/>
  <c r="X57" i="7"/>
  <c r="Z52" i="7"/>
  <c r="Z57" i="7" s="1"/>
  <c r="P7" i="7"/>
  <c r="AA118" i="7"/>
  <c r="AA120" i="7" s="1"/>
  <c r="AI132" i="7"/>
  <c r="AO7" i="7"/>
  <c r="Z122" i="7"/>
  <c r="AA121" i="7"/>
  <c r="AA122" i="7" s="1"/>
  <c r="Z97" i="7"/>
  <c r="AA91" i="7"/>
  <c r="AA97" i="7" s="1"/>
  <c r="X51" i="7"/>
  <c r="Z35" i="7"/>
  <c r="Z51" i="7" s="1"/>
  <c r="Z65" i="7"/>
  <c r="Z77" i="7" s="1"/>
  <c r="X77" i="7"/>
  <c r="BH25" i="7"/>
  <c r="BB7" i="7"/>
  <c r="BB132" i="7"/>
  <c r="AW127" i="7"/>
  <c r="AX123" i="7"/>
  <c r="AX127" i="7" s="1"/>
  <c r="AQ132" i="7"/>
  <c r="AQ7" i="7"/>
  <c r="V90" i="7"/>
  <c r="AM84" i="7"/>
  <c r="AM90" i="7" s="1"/>
  <c r="AM52" i="7"/>
  <c r="AM35" i="7"/>
  <c r="AM51" i="7" s="1"/>
  <c r="V51" i="7"/>
  <c r="V129" i="7"/>
  <c r="AM128" i="7"/>
  <c r="AM129" i="7" s="1"/>
  <c r="Z16" i="7"/>
  <c r="AA8" i="7"/>
  <c r="AA16" i="7" s="1"/>
  <c r="R7" i="7"/>
  <c r="R132" i="7"/>
  <c r="Z100" i="7"/>
  <c r="AA98" i="7"/>
  <c r="AA100" i="7" s="1"/>
  <c r="AL117" i="7"/>
  <c r="AX113" i="7"/>
  <c r="AX117" i="7" s="1"/>
  <c r="AM113" i="7"/>
  <c r="AM117" i="7" s="1"/>
  <c r="AL25" i="7"/>
  <c r="AX17" i="7"/>
  <c r="AX25" i="7" s="1"/>
  <c r="Z113" i="7"/>
  <c r="AA113" i="7" s="1"/>
  <c r="AA117" i="7" s="1"/>
  <c r="X117" i="7"/>
  <c r="Z117" i="7" s="1"/>
  <c r="BQ7" i="7"/>
  <c r="BK7" i="7"/>
  <c r="L57" i="7"/>
  <c r="AX60" i="7"/>
  <c r="AX64" i="7" s="1"/>
  <c r="Z84" i="7"/>
  <c r="X90" i="7"/>
  <c r="AA106" i="7"/>
  <c r="AA112" i="7" s="1"/>
  <c r="L112" i="7"/>
  <c r="L7" i="7" l="1"/>
  <c r="V57" i="7"/>
  <c r="V132" i="7" s="1"/>
  <c r="AA52" i="7"/>
  <c r="AA57" i="7" s="1"/>
  <c r="AA35" i="7"/>
  <c r="AA51" i="7" s="1"/>
  <c r="AX7" i="7"/>
  <c r="AM57" i="7"/>
  <c r="AM132" i="7" s="1"/>
  <c r="Z90" i="7"/>
  <c r="Z132" i="7" s="1"/>
  <c r="AA84" i="7"/>
  <c r="AA90" i="7" s="1"/>
  <c r="AL132" i="7"/>
  <c r="AL7" i="7"/>
  <c r="AP7" i="7"/>
  <c r="AX132" i="7"/>
  <c r="AW7" i="7"/>
  <c r="AW132" i="7"/>
  <c r="AU7" i="7"/>
  <c r="BH7" i="7"/>
  <c r="BH132" i="7"/>
  <c r="X132" i="7"/>
  <c r="V7" i="7" l="1"/>
  <c r="AM7" i="7" s="1"/>
  <c r="AA132" i="7"/>
  <c r="BR7" i="7"/>
  <c r="BL7" i="7"/>
  <c r="AC7" i="7"/>
  <c r="AJ7" i="7"/>
  <c r="AV7" i="7"/>
  <c r="AK7" i="7" l="1"/>
  <c r="N7" i="7"/>
  <c r="T7" i="7" l="1"/>
  <c r="AF7" i="7"/>
  <c r="AD7" i="7"/>
  <c r="O7" i="7"/>
  <c r="U7" i="7" l="1"/>
  <c r="X7" i="7"/>
  <c r="Z7" i="7" l="1"/>
  <c r="AA7" i="7"/>
  <c r="Y7" i="7"/>
  <c r="F15" i="1" l="1"/>
  <c r="D15" i="1"/>
  <c r="E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ACC064</author>
    <author>M61PME</author>
  </authors>
  <commentList>
    <comment ref="AW7" authorId="0" shapeId="0" xr:uid="{00000000-0006-0000-0100-000001000000}">
      <text>
        <r>
          <rPr>
            <b/>
            <sz val="9"/>
            <color indexed="81"/>
            <rFont val="Tahoma"/>
            <family val="2"/>
          </rPr>
          <t>ACC064:</t>
        </r>
        <r>
          <rPr>
            <sz val="9"/>
            <color indexed="81"/>
            <rFont val="Tahoma"/>
            <family val="2"/>
          </rPr>
          <t xml:space="preserve">
106</t>
        </r>
        <r>
          <rPr>
            <sz val="9"/>
            <color indexed="81"/>
            <rFont val="細明體"/>
            <family val="3"/>
            <charset val="136"/>
          </rPr>
          <t>年862,451千元+導生活動費11,900千元+主計系統574千元=874,925千元</t>
        </r>
      </text>
    </comment>
    <comment ref="BP7" authorId="1" shapeId="0" xr:uid="{00000000-0006-0000-0100-000002000000}">
      <text>
        <r>
          <rPr>
            <b/>
            <sz val="14"/>
            <color indexed="81"/>
            <rFont val="Tahoma"/>
            <family val="2"/>
          </rPr>
          <t>103</t>
        </r>
        <r>
          <rPr>
            <b/>
            <sz val="14"/>
            <color indexed="81"/>
            <rFont val="細明體"/>
            <family val="3"/>
            <charset val="136"/>
          </rPr>
          <t>分配數560393
本欄扣除獎學金辦法補助5050及文康活動費刪減250</t>
        </r>
      </text>
    </comment>
    <comment ref="BS7" authorId="1" shapeId="0" xr:uid="{00000000-0006-0000-0100-000003000000}">
      <text>
        <r>
          <rPr>
            <sz val="14"/>
            <color indexed="81"/>
            <rFont val="新細明體"/>
            <family val="1"/>
            <charset val="136"/>
          </rPr>
          <t>本年度可分配數額為333,370千元，各單位需求數(扣除水電費等)計526,514千元
526,514=各單位需求數715814-水電費178000-軟體6000</t>
        </r>
        <r>
          <rPr>
            <u/>
            <sz val="14"/>
            <color indexed="81"/>
            <rFont val="新細明體"/>
            <family val="1"/>
            <charset val="136"/>
          </rPr>
          <t>-獎助學金辦法研修獎助5050-人事室及體育室文康活動費刪減250</t>
        </r>
      </text>
    </comment>
    <comment ref="AB17" authorId="0" shapeId="0" xr:uid="{00000000-0006-0000-0100-000004000000}">
      <text>
        <r>
          <rPr>
            <sz val="10"/>
            <color indexed="81"/>
            <rFont val="Tahoma"/>
            <family val="2"/>
          </rPr>
          <t>107</t>
        </r>
        <r>
          <rPr>
            <sz val="10"/>
            <color indexed="81"/>
            <rFont val="細明體"/>
            <family val="3"/>
            <charset val="136"/>
          </rPr>
          <t>年度通識中心經費併入教務處，故一併提扣控留款</t>
        </r>
      </text>
    </comment>
    <comment ref="AN17" authorId="0" shapeId="0" xr:uid="{00000000-0006-0000-0100-000005000000}">
      <text>
        <r>
          <rPr>
            <sz val="10"/>
            <color indexed="81"/>
            <rFont val="Tahoma"/>
            <family val="2"/>
          </rPr>
          <t>107</t>
        </r>
        <r>
          <rPr>
            <sz val="10"/>
            <color indexed="81"/>
            <rFont val="細明體"/>
            <family val="3"/>
            <charset val="136"/>
          </rPr>
          <t>年度通識中心經費併入教務處，故一併提扣控留款</t>
        </r>
      </text>
    </comment>
    <comment ref="P63" authorId="0" shapeId="0" xr:uid="{00000000-0006-0000-0100-000007000000}">
      <text>
        <r>
          <rPr>
            <b/>
            <sz val="9"/>
            <color indexed="81"/>
            <rFont val="Tahoma"/>
            <family val="2"/>
          </rPr>
          <t>ACC064:</t>
        </r>
        <r>
          <rPr>
            <sz val="9"/>
            <color indexed="81"/>
            <rFont val="Tahoma"/>
            <family val="2"/>
          </rPr>
          <t xml:space="preserve">
</t>
        </r>
        <r>
          <rPr>
            <sz val="9"/>
            <color indexed="81"/>
            <rFont val="細明體"/>
            <family val="3"/>
            <charset val="136"/>
          </rPr>
          <t>依法政學院經資門比例計算經資門</t>
        </r>
      </text>
    </comment>
  </commentList>
</comments>
</file>

<file path=xl/sharedStrings.xml><?xml version="1.0" encoding="utf-8"?>
<sst xmlns="http://schemas.openxmlformats.org/spreadsheetml/2006/main" count="607" uniqueCount="419">
  <si>
    <t>副校長室</t>
  </si>
  <si>
    <t>校務諮詢委員會</t>
  </si>
  <si>
    <t>學生事務處</t>
  </si>
  <si>
    <t>總務處</t>
  </si>
  <si>
    <t>研究發展處</t>
  </si>
  <si>
    <t>國際事務處</t>
  </si>
  <si>
    <t>圖書館</t>
  </si>
  <si>
    <t>體育室</t>
  </si>
  <si>
    <t>秘書室</t>
  </si>
  <si>
    <t>計算機及資訊網路中心</t>
  </si>
  <si>
    <t>生物科技發展中心</t>
  </si>
  <si>
    <t>N016</t>
  </si>
  <si>
    <t>師資培育中心</t>
  </si>
  <si>
    <t>校長室</t>
  </si>
  <si>
    <t>總務處</t>
    <phoneticPr fontId="12" type="noConversion"/>
  </si>
  <si>
    <t>全年度水電費</t>
    <phoneticPr fontId="12" type="noConversion"/>
  </si>
  <si>
    <t>校區建物、設備、公共意外等保險費</t>
    <phoneticPr fontId="12" type="noConversion"/>
  </si>
  <si>
    <t>研發處</t>
    <phoneticPr fontId="12" type="noConversion"/>
  </si>
  <si>
    <t>圖書館</t>
    <phoneticPr fontId="12" type="noConversion"/>
  </si>
  <si>
    <t>各系所提撥圖書經費</t>
    <phoneticPr fontId="12" type="noConversion"/>
  </si>
  <si>
    <t>西文核心期刊經費</t>
    <phoneticPr fontId="12" type="noConversion"/>
  </si>
  <si>
    <t>電子期刊及電子資料庫</t>
    <phoneticPr fontId="12" type="noConversion"/>
  </si>
  <si>
    <t>借還書業務</t>
    <phoneticPr fontId="12" type="noConversion"/>
  </si>
  <si>
    <t>圖書館合計</t>
    <phoneticPr fontId="12" type="noConversion"/>
  </si>
  <si>
    <t>春節團拜費用及退休人員餐會</t>
    <phoneticPr fontId="12" type="noConversion"/>
  </si>
  <si>
    <t>補助教職員工社團</t>
    <phoneticPr fontId="12" type="noConversion"/>
  </si>
  <si>
    <t>訓練參訪活動</t>
    <phoneticPr fontId="12" type="noConversion"/>
  </si>
  <si>
    <t>主計室</t>
    <phoneticPr fontId="12" type="noConversion"/>
  </si>
  <si>
    <t>主計室合計</t>
    <phoneticPr fontId="12" type="noConversion"/>
  </si>
  <si>
    <t>計資中心</t>
    <phoneticPr fontId="12" type="noConversion"/>
  </si>
  <si>
    <t>全校校園網路主機系統軟硬體維護</t>
    <phoneticPr fontId="12" type="noConversion"/>
  </si>
  <si>
    <t>奈米中心</t>
    <phoneticPr fontId="12" type="noConversion"/>
  </si>
  <si>
    <t>N021</t>
    <phoneticPr fontId="12" type="noConversion"/>
  </si>
  <si>
    <t>能源與奈米核心實驗室設施建置暨整合性研究平台推動</t>
    <phoneticPr fontId="12" type="noConversion"/>
  </si>
  <si>
    <t>N022</t>
    <phoneticPr fontId="12" type="noConversion"/>
  </si>
  <si>
    <t>奈米標章檢測實驗室建置</t>
    <phoneticPr fontId="12" type="noConversion"/>
  </si>
  <si>
    <t>N024</t>
    <phoneticPr fontId="12" type="noConversion"/>
  </si>
  <si>
    <t>能源與奈米科技推廣及產業鏈結相關經費</t>
    <phoneticPr fontId="12" type="noConversion"/>
  </si>
  <si>
    <t>師培中心</t>
    <phoneticPr fontId="12" type="noConversion"/>
  </si>
  <si>
    <t>師培中心合計</t>
    <phoneticPr fontId="12" type="noConversion"/>
  </si>
  <si>
    <t>藝術中心</t>
    <phoneticPr fontId="12" type="noConversion"/>
  </si>
  <si>
    <t>藝術中心合計</t>
    <phoneticPr fontId="12" type="noConversion"/>
  </si>
  <si>
    <t>環境保護暨安全衛生中心</t>
    <phoneticPr fontId="12" type="noConversion"/>
  </si>
  <si>
    <t>環安中心</t>
    <phoneticPr fontId="12" type="noConversion"/>
  </si>
  <si>
    <t>N061</t>
    <phoneticPr fontId="12" type="noConversion"/>
  </si>
  <si>
    <t>N062</t>
  </si>
  <si>
    <t>惠蓀講座</t>
    <phoneticPr fontId="12" type="noConversion"/>
  </si>
  <si>
    <t>人文與社會科學研究中心</t>
    <phoneticPr fontId="12" type="noConversion"/>
  </si>
  <si>
    <t>人社中心</t>
    <phoneticPr fontId="12" type="noConversion"/>
  </si>
  <si>
    <t>人文社管中心合計</t>
    <phoneticPr fontId="12" type="noConversion"/>
  </si>
  <si>
    <t>行政單位及中心分配經費總計</t>
    <phoneticPr fontId="12" type="noConversion"/>
  </si>
  <si>
    <t>環安中心合計</t>
    <phoneticPr fontId="12" type="noConversion"/>
  </si>
  <si>
    <t>勞工健康檢查業務</t>
    <phoneticPr fontId="12" type="noConversion"/>
  </si>
  <si>
    <t>L00</t>
    <phoneticPr fontId="2" type="noConversion"/>
  </si>
  <si>
    <r>
      <rPr>
        <sz val="14"/>
        <color theme="1"/>
        <rFont val="標楷體"/>
        <family val="4"/>
        <charset val="136"/>
      </rPr>
      <t>國立中興大學</t>
    </r>
    <phoneticPr fontId="2" type="noConversion"/>
  </si>
  <si>
    <r>
      <rPr>
        <sz val="14"/>
        <color theme="1"/>
        <rFont val="標楷體"/>
        <family val="4"/>
        <charset val="136"/>
      </rPr>
      <t>行政單位分配經費調查表</t>
    </r>
    <phoneticPr fontId="2" type="noConversion"/>
  </si>
  <si>
    <r>
      <rPr>
        <sz val="14"/>
        <color theme="1"/>
        <rFont val="標楷體"/>
        <family val="4"/>
        <charset val="136"/>
      </rPr>
      <t>計畫
編號</t>
    </r>
    <phoneticPr fontId="2" type="noConversion"/>
  </si>
  <si>
    <r>
      <rPr>
        <sz val="13"/>
        <color theme="1"/>
        <rFont val="標楷體"/>
        <family val="4"/>
        <charset val="136"/>
      </rPr>
      <t>經常費或設備費</t>
    </r>
    <phoneticPr fontId="2" type="noConversion"/>
  </si>
  <si>
    <r>
      <rPr>
        <sz val="14"/>
        <color theme="1"/>
        <rFont val="標楷體"/>
        <family val="4"/>
        <charset val="136"/>
      </rPr>
      <t>說明</t>
    </r>
    <phoneticPr fontId="2" type="noConversion"/>
  </si>
  <si>
    <r>
      <rPr>
        <sz val="14"/>
        <color rgb="FF0070C0"/>
        <rFont val="標楷體"/>
        <family val="4"/>
        <charset val="136"/>
      </rPr>
      <t>經常費</t>
    </r>
  </si>
  <si>
    <r>
      <rPr>
        <sz val="12"/>
        <color theme="1"/>
        <rFont val="標楷體"/>
        <family val="4"/>
        <charset val="136"/>
      </rPr>
      <t>免填</t>
    </r>
    <phoneticPr fontId="2" type="noConversion"/>
  </si>
  <si>
    <r>
      <rPr>
        <sz val="14"/>
        <color rgb="FF0070C0"/>
        <rFont val="標楷體"/>
        <family val="4"/>
        <charset val="136"/>
      </rPr>
      <t>設備費</t>
    </r>
  </si>
  <si>
    <r>
      <rPr>
        <b/>
        <sz val="14"/>
        <color theme="1"/>
        <rFont val="標楷體"/>
        <family val="4"/>
        <charset val="136"/>
      </rPr>
      <t>合計</t>
    </r>
    <phoneticPr fontId="2" type="noConversion"/>
  </si>
  <si>
    <r>
      <rPr>
        <sz val="14"/>
        <color theme="1"/>
        <rFont val="標楷體"/>
        <family val="4"/>
        <charset val="136"/>
      </rPr>
      <t>備註</t>
    </r>
    <phoneticPr fontId="2" type="noConversion"/>
  </si>
  <si>
    <r>
      <rPr>
        <sz val="14"/>
        <color theme="1"/>
        <rFont val="標楷體"/>
        <family val="4"/>
        <charset val="136"/>
      </rPr>
      <t>說明</t>
    </r>
    <phoneticPr fontId="2" type="noConversion"/>
  </si>
  <si>
    <r>
      <rPr>
        <sz val="14"/>
        <color theme="1"/>
        <rFont val="標楷體"/>
        <family val="4"/>
        <charset val="136"/>
      </rPr>
      <t>需公開招標或簽訂契約項目</t>
    </r>
    <r>
      <rPr>
        <sz val="14"/>
        <color rgb="FFFF0000"/>
        <rFont val="Times New Roman"/>
        <family val="1"/>
      </rPr>
      <t>(</t>
    </r>
    <r>
      <rPr>
        <sz val="14"/>
        <color rgb="FFFF0000"/>
        <rFont val="標楷體"/>
        <family val="4"/>
        <charset val="136"/>
      </rPr>
      <t>請逐案填列</t>
    </r>
    <r>
      <rPr>
        <sz val="14"/>
        <color rgb="FFFF0000"/>
        <rFont val="Times New Roman"/>
        <family val="1"/>
      </rPr>
      <t>)</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</si>
  <si>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會計資訊系統租賃及維護費</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</si>
  <si>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辦公事務用品及出差旅費等</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</si>
  <si>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電腦設備等</t>
    </r>
    <phoneticPr fontId="2" type="noConversion"/>
  </si>
  <si>
    <r>
      <rPr>
        <sz val="14"/>
        <color theme="1"/>
        <rFont val="標楷體"/>
        <family val="4"/>
        <charset val="136"/>
      </rPr>
      <t>經常費</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</si>
  <si>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rPr>
        <sz val="14"/>
        <color theme="1"/>
        <rFont val="標楷體"/>
        <family val="4"/>
        <charset val="136"/>
      </rPr>
      <t>設備費</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</si>
  <si>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t>
    </r>
    <r>
      <rPr>
        <sz val="14"/>
        <color rgb="FF0070C0"/>
        <rFont val="標楷體"/>
        <family val="4"/>
        <charset val="136"/>
      </rPr>
      <t>範例</t>
    </r>
    <r>
      <rPr>
        <sz val="14"/>
        <color rgb="FF0070C0"/>
        <rFont val="Times New Roman"/>
        <family val="1"/>
      </rPr>
      <t>)</t>
    </r>
    <r>
      <rPr>
        <sz val="14"/>
        <color rgb="FF0070C0"/>
        <rFont val="標楷體"/>
        <family val="4"/>
        <charset val="136"/>
      </rPr>
      <t>增置會計系統伺服器</t>
    </r>
    <phoneticPr fontId="2" type="noConversion"/>
  </si>
  <si>
    <r>
      <rPr>
        <sz val="14"/>
        <rFont val="標楷體"/>
        <family val="4"/>
        <charset val="136"/>
      </rPr>
      <t>單位：</t>
    </r>
    <r>
      <rPr>
        <sz val="14"/>
        <color rgb="FF0070C0"/>
        <rFont val="Times New Roman"/>
        <family val="1"/>
      </rPr>
      <t>(</t>
    </r>
    <r>
      <rPr>
        <sz val="14"/>
        <color rgb="FF0070C0"/>
        <rFont val="標楷體"/>
        <family val="4"/>
        <charset val="136"/>
      </rPr>
      <t>範例</t>
    </r>
    <r>
      <rPr>
        <sz val="14"/>
        <color rgb="FF0070C0"/>
        <rFont val="Times New Roman"/>
        <family val="1"/>
      </rPr>
      <t>)</t>
    </r>
    <r>
      <rPr>
        <sz val="14"/>
        <color rgb="FF0070C0"/>
        <rFont val="標楷體"/>
        <family val="4"/>
        <charset val="136"/>
      </rPr>
      <t>主計室</t>
    </r>
    <phoneticPr fontId="2" type="noConversion"/>
  </si>
  <si>
    <t>經費需求年度</t>
    <phoneticPr fontId="2" type="noConversion"/>
  </si>
  <si>
    <r>
      <rPr>
        <sz val="14"/>
        <color rgb="FF0070C0"/>
        <rFont val="Wingdings 2"/>
        <family val="1"/>
        <charset val="2"/>
      </rPr>
      <t>R</t>
    </r>
    <r>
      <rPr>
        <sz val="14"/>
        <color rgb="FF0070C0"/>
        <rFont val="標楷體"/>
        <family val="4"/>
        <charset val="136"/>
      </rPr>
      <t>當年度</t>
    </r>
    <r>
      <rPr>
        <sz val="14"/>
        <color rgb="FF0070C0"/>
        <rFont val="Times New Roman"/>
        <family val="1"/>
      </rPr>
      <t xml:space="preserve">   </t>
    </r>
    <r>
      <rPr>
        <sz val="14"/>
        <color rgb="FF0070C0"/>
        <rFont val="Wingdings 2"/>
        <family val="1"/>
        <charset val="2"/>
      </rPr>
      <t>£</t>
    </r>
    <r>
      <rPr>
        <sz val="14"/>
        <color rgb="FF0070C0"/>
        <rFont val="標楷體"/>
        <family val="4"/>
        <charset val="136"/>
      </rPr>
      <t>多年</t>
    </r>
    <phoneticPr fontId="2" type="noConversion"/>
  </si>
  <si>
    <t>國立中興大學</t>
    <phoneticPr fontId="12" type="noConversion"/>
  </si>
  <si>
    <r>
      <rPr>
        <sz val="16"/>
        <rFont val="新細明體"/>
        <family val="1"/>
        <charset val="136"/>
      </rPr>
      <t>項目</t>
    </r>
    <phoneticPr fontId="12" type="noConversion"/>
  </si>
  <si>
    <r>
      <rPr>
        <sz val="16"/>
        <rFont val="新細明體"/>
        <family val="1"/>
        <charset val="136"/>
      </rPr>
      <t>經常費</t>
    </r>
    <phoneticPr fontId="12" type="noConversion"/>
  </si>
  <si>
    <r>
      <rPr>
        <sz val="16"/>
        <rFont val="新細明體"/>
        <family val="1"/>
        <charset val="136"/>
      </rPr>
      <t>設備費</t>
    </r>
    <phoneticPr fontId="12" type="noConversion"/>
  </si>
  <si>
    <r>
      <rPr>
        <sz val="16"/>
        <rFont val="新細明體"/>
        <family val="1"/>
        <charset val="136"/>
      </rPr>
      <t>經資合計</t>
    </r>
    <phoneticPr fontId="12" type="noConversion"/>
  </si>
  <si>
    <t>推動科技經費</t>
    <phoneticPr fontId="12" type="noConversion"/>
  </si>
  <si>
    <t>物理系共同課程補助款</t>
    <phoneticPr fontId="12" type="noConversion"/>
  </si>
  <si>
    <t>物理系</t>
    <phoneticPr fontId="12" type="noConversion"/>
  </si>
  <si>
    <t>綜合教學大樓屋頂加蓋</t>
    <phoneticPr fontId="12" type="noConversion"/>
  </si>
  <si>
    <t>教務處合計</t>
    <phoneticPr fontId="12" type="noConversion"/>
  </si>
  <si>
    <t>學務處</t>
    <phoneticPr fontId="12" type="noConversion"/>
  </si>
  <si>
    <t>校區環境改善及房舍整修（含補強、防震及無障礙設施）</t>
    <phoneticPr fontId="12" type="noConversion"/>
  </si>
  <si>
    <t>行政單位電信費</t>
    <phoneticPr fontId="12" type="noConversion"/>
  </si>
  <si>
    <t>總務處合計</t>
    <phoneticPr fontId="12" type="noConversion"/>
  </si>
  <si>
    <t>執行政府計畫配合款</t>
    <phoneticPr fontId="12" type="noConversion"/>
  </si>
  <si>
    <t>補助計畫儀器、圖書與電子資源配合款</t>
    <phoneticPr fontId="12" type="noConversion"/>
  </si>
  <si>
    <t>補助新進教師籌建教學與研究設施</t>
    <phoneticPr fontId="12" type="noConversion"/>
  </si>
  <si>
    <t>研發處合計</t>
    <phoneticPr fontId="12" type="noConversion"/>
  </si>
  <si>
    <t>國際事務處合計</t>
    <phoneticPr fontId="12" type="noConversion"/>
  </si>
  <si>
    <t>體育室</t>
    <phoneticPr fontId="12" type="noConversion"/>
  </si>
  <si>
    <t>校運會專款</t>
    <phoneticPr fontId="12" type="noConversion"/>
  </si>
  <si>
    <t>教職員工球類競賽專款</t>
    <phoneticPr fontId="12" type="noConversion"/>
  </si>
  <si>
    <t>秘書室</t>
    <phoneticPr fontId="12" type="noConversion"/>
  </si>
  <si>
    <t>電子公文線上簽核系統軟硬體維護</t>
    <phoneticPr fontId="12" type="noConversion"/>
  </si>
  <si>
    <t>秘書室合計</t>
    <phoneticPr fontId="12" type="noConversion"/>
  </si>
  <si>
    <t>人事室</t>
    <phoneticPr fontId="12" type="noConversion"/>
  </si>
  <si>
    <t>員工協助方案</t>
    <phoneticPr fontId="12" type="noConversion"/>
  </si>
  <si>
    <t>主計室會計帳務系統</t>
    <phoneticPr fontId="12" type="noConversion"/>
  </si>
  <si>
    <t>全校教學研究軟體授權使用續約</t>
    <phoneticPr fontId="12" type="noConversion"/>
  </si>
  <si>
    <t>全校電腦網路資訊服務及校務行政電腦系統等維護</t>
    <phoneticPr fontId="12" type="noConversion"/>
  </si>
  <si>
    <t>計資中心合計</t>
    <phoneticPr fontId="12" type="noConversion"/>
  </si>
  <si>
    <t>生科中心</t>
    <phoneticPr fontId="12" type="noConversion"/>
  </si>
  <si>
    <r>
      <rPr>
        <sz val="14"/>
        <rFont val="標楷體"/>
        <family val="4"/>
        <charset val="136"/>
      </rPr>
      <t>依據</t>
    </r>
    <r>
      <rPr>
        <sz val="14"/>
        <rFont val="Times New Roman"/>
        <family val="1"/>
      </rPr>
      <t>106</t>
    </r>
    <r>
      <rPr>
        <sz val="14"/>
        <rFont val="標楷體"/>
        <family val="4"/>
        <charset val="136"/>
      </rPr>
      <t>年</t>
    </r>
    <r>
      <rPr>
        <sz val="14"/>
        <rFont val="Times New Roman"/>
        <family val="1"/>
      </rPr>
      <t>10</t>
    </r>
    <r>
      <rPr>
        <sz val="14"/>
        <rFont val="標楷體"/>
        <family val="4"/>
        <charset val="136"/>
      </rPr>
      <t>月</t>
    </r>
    <r>
      <rPr>
        <sz val="14"/>
        <rFont val="Times New Roman"/>
        <family val="1"/>
      </rPr>
      <t>2</t>
    </r>
    <r>
      <rPr>
        <sz val="14"/>
        <rFont val="標楷體"/>
        <family val="4"/>
        <charset val="136"/>
      </rPr>
      <t>日「國立中興大學</t>
    </r>
    <r>
      <rPr>
        <sz val="14"/>
        <rFont val="Times New Roman"/>
        <family val="1"/>
      </rPr>
      <t>106</t>
    </r>
    <r>
      <rPr>
        <sz val="14"/>
        <rFont val="標楷體"/>
        <family val="4"/>
        <charset val="136"/>
      </rPr>
      <t>年第</t>
    </r>
    <r>
      <rPr>
        <sz val="14"/>
        <rFont val="Times New Roman"/>
        <family val="1"/>
      </rPr>
      <t>5</t>
    </r>
    <r>
      <rPr>
        <sz val="14"/>
        <rFont val="標楷體"/>
        <family val="4"/>
        <charset val="136"/>
      </rPr>
      <t>次人力評估委員會」會議決議，生科中心</t>
    </r>
    <r>
      <rPr>
        <u/>
        <sz val="14"/>
        <rFont val="標楷體"/>
        <family val="4"/>
        <charset val="136"/>
      </rPr>
      <t>增加第</t>
    </r>
    <r>
      <rPr>
        <u/>
        <sz val="14"/>
        <rFont val="Times New Roman"/>
        <family val="1"/>
      </rPr>
      <t>2</t>
    </r>
    <r>
      <rPr>
        <u/>
        <sz val="14"/>
        <rFont val="標楷體"/>
        <family val="4"/>
        <charset val="136"/>
      </rPr>
      <t>名行政人力時</t>
    </r>
    <r>
      <rPr>
        <sz val="14"/>
        <rFont val="標楷體"/>
        <family val="4"/>
        <charset val="136"/>
      </rPr>
      <t>，</t>
    </r>
    <r>
      <rPr>
        <u/>
        <sz val="14"/>
        <rFont val="標楷體"/>
        <family val="4"/>
        <charset val="136"/>
      </rPr>
      <t>將提撥</t>
    </r>
    <r>
      <rPr>
        <u/>
        <sz val="14"/>
        <rFont val="Times New Roman"/>
        <family val="1"/>
      </rPr>
      <t>50</t>
    </r>
    <r>
      <rPr>
        <u/>
        <sz val="14"/>
        <rFont val="標楷體"/>
        <family val="4"/>
        <charset val="136"/>
      </rPr>
      <t>萬元挹注校務基金。</t>
    </r>
    <phoneticPr fontId="12" type="noConversion"/>
  </si>
  <si>
    <t>N011</t>
    <phoneticPr fontId="12" type="noConversion"/>
  </si>
  <si>
    <t>生物科技教學相關核心實驗室</t>
    <phoneticPr fontId="12" type="noConversion"/>
  </si>
  <si>
    <t>N012</t>
    <phoneticPr fontId="12" type="noConversion"/>
  </si>
  <si>
    <t>輻射防護及生物安全業務經費</t>
    <phoneticPr fontId="12" type="noConversion"/>
  </si>
  <si>
    <t>N014</t>
    <phoneticPr fontId="12" type="noConversion"/>
  </si>
  <si>
    <t>實驗動物管理與服務</t>
    <phoneticPr fontId="12" type="noConversion"/>
  </si>
  <si>
    <t>核心隔離溫室</t>
    <phoneticPr fontId="12" type="noConversion"/>
  </si>
  <si>
    <t>N019</t>
    <phoneticPr fontId="12" type="noConversion"/>
  </si>
  <si>
    <t>人體試驗管理與服務</t>
    <phoneticPr fontId="12" type="noConversion"/>
  </si>
  <si>
    <t>生科中心合計</t>
    <phoneticPr fontId="12" type="noConversion"/>
  </si>
  <si>
    <t>環保及廢棄物清理(107年更名)</t>
    <phoneticPr fontId="12" type="noConversion"/>
  </si>
  <si>
    <r>
      <rPr>
        <sz val="14"/>
        <color theme="1"/>
        <rFont val="標楷體"/>
        <family val="4"/>
        <charset val="136"/>
      </rPr>
      <t>其他項目</t>
    </r>
    <r>
      <rPr>
        <sz val="14"/>
        <color theme="1"/>
        <rFont val="Times New Roman"/>
        <family val="1"/>
      </rPr>
      <t>(</t>
    </r>
    <r>
      <rPr>
        <sz val="14"/>
        <color theme="1"/>
        <rFont val="標楷體"/>
        <family val="4"/>
        <charset val="136"/>
      </rPr>
      <t>請分經常費、設備費簡要填列</t>
    </r>
    <r>
      <rPr>
        <sz val="14"/>
        <color theme="1"/>
        <rFont val="Times New Roman"/>
        <family val="1"/>
      </rPr>
      <t>)</t>
    </r>
    <phoneticPr fontId="2" type="noConversion"/>
  </si>
  <si>
    <r>
      <rPr>
        <sz val="16"/>
        <rFont val="細明體"/>
        <family val="3"/>
        <charset val="136"/>
      </rPr>
      <t>計畫
代碼</t>
    </r>
    <phoneticPr fontId="12" type="noConversion"/>
  </si>
  <si>
    <r>
      <rPr>
        <sz val="16"/>
        <rFont val="新細明體"/>
        <family val="1"/>
        <charset val="136"/>
      </rPr>
      <t>經辦
單位</t>
    </r>
    <phoneticPr fontId="12" type="noConversion"/>
  </si>
  <si>
    <r>
      <t>總</t>
    </r>
    <r>
      <rPr>
        <b/>
        <sz val="18"/>
        <rFont val="Times New Roman"/>
        <family val="1"/>
      </rPr>
      <t xml:space="preserve">    </t>
    </r>
    <r>
      <rPr>
        <b/>
        <sz val="18"/>
        <rFont val="新細明體"/>
        <family val="1"/>
        <charset val="136"/>
      </rPr>
      <t>計</t>
    </r>
    <phoneticPr fontId="12" type="noConversion"/>
  </si>
  <si>
    <t>A00</t>
    <phoneticPr fontId="12" type="noConversion"/>
  </si>
  <si>
    <t>校長室</t>
    <phoneticPr fontId="12" type="noConversion"/>
  </si>
  <si>
    <t>A01</t>
    <phoneticPr fontId="12" type="noConversion"/>
  </si>
  <si>
    <t>校長室控留款</t>
    <phoneticPr fontId="12" type="noConversion"/>
  </si>
  <si>
    <t>A02</t>
    <phoneticPr fontId="12" type="noConversion"/>
  </si>
  <si>
    <t>A10</t>
    <phoneticPr fontId="12" type="noConversion"/>
  </si>
  <si>
    <t>副校長室</t>
    <phoneticPr fontId="12" type="noConversion"/>
  </si>
  <si>
    <t>A11</t>
    <phoneticPr fontId="12" type="noConversion"/>
  </si>
  <si>
    <t>臺灣綜合大學(T4)配合款</t>
    <phoneticPr fontId="12" type="noConversion"/>
  </si>
  <si>
    <r>
      <rPr>
        <sz val="14"/>
        <rFont val="標楷體"/>
        <family val="4"/>
        <charset val="136"/>
      </rPr>
      <t>台綜大配合款編列</t>
    </r>
    <r>
      <rPr>
        <sz val="14"/>
        <rFont val="Times New Roman"/>
        <family val="1"/>
      </rPr>
      <t>10</t>
    </r>
    <r>
      <rPr>
        <sz val="14"/>
        <rFont val="標楷體"/>
        <family val="4"/>
        <charset val="136"/>
      </rPr>
      <t>年</t>
    </r>
    <r>
      <rPr>
        <sz val="14"/>
        <rFont val="Times New Roman"/>
        <family val="1"/>
      </rPr>
      <t>(100-109</t>
    </r>
    <r>
      <rPr>
        <sz val="14"/>
        <rFont val="標楷體"/>
        <family val="4"/>
        <charset val="136"/>
      </rPr>
      <t>年</t>
    </r>
    <r>
      <rPr>
        <sz val="14"/>
        <rFont val="Times New Roman"/>
        <family val="1"/>
      </rPr>
      <t>)</t>
    </r>
    <phoneticPr fontId="12" type="noConversion"/>
  </si>
  <si>
    <t>A20</t>
    <phoneticPr fontId="12" type="noConversion"/>
  </si>
  <si>
    <t>A03</t>
    <phoneticPr fontId="12" type="noConversion"/>
  </si>
  <si>
    <t>êê</t>
    <phoneticPr fontId="12" type="noConversion"/>
  </si>
  <si>
    <t>108年永續智慧社區創新實證示範計畫配合款</t>
    <phoneticPr fontId="12" type="noConversion"/>
  </si>
  <si>
    <t>校長室合計</t>
    <phoneticPr fontId="12" type="noConversion"/>
  </si>
  <si>
    <t>B00</t>
    <phoneticPr fontId="12" type="noConversion"/>
  </si>
  <si>
    <t>教務處</t>
    <phoneticPr fontId="12" type="noConversion"/>
  </si>
  <si>
    <t>B02</t>
    <phoneticPr fontId="12" type="noConversion"/>
  </si>
  <si>
    <r>
      <rPr>
        <sz val="14"/>
        <rFont val="標楷體"/>
        <family val="4"/>
        <charset val="136"/>
      </rPr>
      <t>因</t>
    </r>
    <r>
      <rPr>
        <sz val="14"/>
        <rFont val="Times New Roman"/>
        <family val="1"/>
      </rPr>
      <t>107</t>
    </r>
    <r>
      <rPr>
        <sz val="14"/>
        <rFont val="標楷體"/>
        <family val="4"/>
        <charset val="136"/>
      </rPr>
      <t>年</t>
    </r>
    <r>
      <rPr>
        <sz val="14"/>
        <rFont val="Times New Roman"/>
        <family val="1"/>
      </rPr>
      <t>2</t>
    </r>
    <r>
      <rPr>
        <sz val="14"/>
        <rFont val="標楷體"/>
        <family val="4"/>
        <charset val="136"/>
      </rPr>
      <t>月</t>
    </r>
    <r>
      <rPr>
        <sz val="14"/>
        <rFont val="Times New Roman"/>
        <family val="1"/>
      </rPr>
      <t>1</t>
    </r>
    <r>
      <rPr>
        <sz val="14"/>
        <rFont val="標楷體"/>
        <family val="4"/>
        <charset val="136"/>
      </rPr>
      <t>起通識教育中心改隸教務處，故通識教育中心專項經費移至教務處。</t>
    </r>
    <phoneticPr fontId="12" type="noConversion"/>
  </si>
  <si>
    <t>化學系共同課程補助款</t>
    <phoneticPr fontId="12" type="noConversion"/>
  </si>
  <si>
    <t>化學系</t>
    <phoneticPr fontId="12" type="noConversion"/>
  </si>
  <si>
    <t>生科系共同課程補助款</t>
    <phoneticPr fontId="12" type="noConversion"/>
  </si>
  <si>
    <t>生科系</t>
    <phoneticPr fontId="12" type="noConversion"/>
  </si>
  <si>
    <t>B05</t>
    <phoneticPr fontId="12" type="noConversion"/>
  </si>
  <si>
    <t>招生宣導費</t>
    <phoneticPr fontId="12" type="noConversion"/>
  </si>
  <si>
    <r>
      <rPr>
        <sz val="14"/>
        <rFont val="標楷體"/>
        <family val="4"/>
        <charset val="136"/>
      </rPr>
      <t>由高教深耕計畫支應。</t>
    </r>
    <phoneticPr fontId="12" type="noConversion"/>
  </si>
  <si>
    <t>學雜費調增支用計畫</t>
    <phoneticPr fontId="12" type="noConversion"/>
  </si>
  <si>
    <r>
      <t>1.</t>
    </r>
    <r>
      <rPr>
        <sz val="14"/>
        <rFont val="標楷體"/>
        <family val="4"/>
        <charset val="136"/>
      </rPr>
      <t>依本校學生人數預估，調漲學雜費後約可增收</t>
    </r>
    <r>
      <rPr>
        <sz val="14"/>
        <rFont val="Times New Roman"/>
        <family val="1"/>
      </rPr>
      <t>12,263</t>
    </r>
    <r>
      <rPr>
        <sz val="14"/>
        <rFont val="標楷體"/>
        <family val="4"/>
        <charset val="136"/>
      </rPr>
      <t>千元，與分配數</t>
    </r>
    <r>
      <rPr>
        <sz val="14"/>
        <rFont val="Times New Roman"/>
        <family val="1"/>
      </rPr>
      <t>12,800</t>
    </r>
    <r>
      <rPr>
        <sz val="14"/>
        <rFont val="標楷體"/>
        <family val="4"/>
        <charset val="136"/>
      </rPr>
      <t xml:space="preserve">千元差異之部分，擬由教務處統一專簽由學校自籌款支應。
</t>
    </r>
    <r>
      <rPr>
        <sz val="14"/>
        <rFont val="Times New Roman"/>
        <family val="1"/>
      </rPr>
      <t>2.</t>
    </r>
    <r>
      <rPr>
        <sz val="14"/>
        <rFont val="標楷體"/>
        <family val="4"/>
        <charset val="136"/>
      </rPr>
      <t>支用項目包含</t>
    </r>
    <r>
      <rPr>
        <sz val="14"/>
        <rFont val="Times New Roman"/>
        <family val="1"/>
      </rPr>
      <t>(1)</t>
    </r>
    <r>
      <rPr>
        <sz val="14"/>
        <rFont val="標楷體"/>
        <family val="4"/>
        <charset val="136"/>
      </rPr>
      <t>圖書期刊</t>
    </r>
    <r>
      <rPr>
        <sz val="14"/>
        <rFont val="Times New Roman"/>
        <family val="1"/>
      </rPr>
      <t>4,000</t>
    </r>
    <r>
      <rPr>
        <sz val="14"/>
        <rFont val="標楷體"/>
        <family val="4"/>
        <charset val="136"/>
      </rPr>
      <t>千元、</t>
    </r>
    <r>
      <rPr>
        <sz val="14"/>
        <rFont val="Times New Roman"/>
        <family val="1"/>
      </rPr>
      <t>(2)</t>
    </r>
    <r>
      <rPr>
        <sz val="14"/>
        <rFont val="標楷體"/>
        <family val="4"/>
        <charset val="136"/>
      </rPr>
      <t>社團空間、設備及使用維護</t>
    </r>
    <r>
      <rPr>
        <sz val="14"/>
        <rFont val="Times New Roman"/>
        <family val="1"/>
      </rPr>
      <t>3,480</t>
    </r>
    <r>
      <rPr>
        <sz val="14"/>
        <rFont val="標楷體"/>
        <family val="4"/>
        <charset val="136"/>
      </rPr>
      <t>千元、</t>
    </r>
    <r>
      <rPr>
        <sz val="14"/>
        <rFont val="Times New Roman"/>
        <family val="1"/>
      </rPr>
      <t>(3)</t>
    </r>
    <r>
      <rPr>
        <sz val="14"/>
        <rFont val="標楷體"/>
        <family val="4"/>
        <charset val="136"/>
      </rPr>
      <t>大型學生活動經費補助</t>
    </r>
    <r>
      <rPr>
        <sz val="14"/>
        <rFont val="Times New Roman"/>
        <family val="1"/>
      </rPr>
      <t>1,330</t>
    </r>
    <r>
      <rPr>
        <sz val="14"/>
        <rFont val="標楷體"/>
        <family val="4"/>
        <charset val="136"/>
      </rPr>
      <t>千元、</t>
    </r>
    <r>
      <rPr>
        <sz val="14"/>
        <rFont val="Times New Roman"/>
        <family val="1"/>
      </rPr>
      <t>(4)</t>
    </r>
    <r>
      <rPr>
        <sz val="14"/>
        <rFont val="標楷體"/>
        <family val="4"/>
        <charset val="136"/>
      </rPr>
      <t>增加學生生活助學金</t>
    </r>
    <r>
      <rPr>
        <sz val="14"/>
        <rFont val="Times New Roman"/>
        <family val="1"/>
      </rPr>
      <t>1,330</t>
    </r>
    <r>
      <rPr>
        <sz val="14"/>
        <rFont val="標楷體"/>
        <family val="4"/>
        <charset val="136"/>
      </rPr>
      <t>千元、</t>
    </r>
    <r>
      <rPr>
        <sz val="14"/>
        <rFont val="Times New Roman"/>
        <family val="1"/>
      </rPr>
      <t>(5)</t>
    </r>
    <r>
      <rPr>
        <sz val="14"/>
        <rFont val="標楷體"/>
        <family val="4"/>
        <charset val="136"/>
      </rPr>
      <t>綜合教學大樓教室維護</t>
    </r>
    <r>
      <rPr>
        <sz val="14"/>
        <rFont val="Times New Roman"/>
        <family val="1"/>
      </rPr>
      <t>1,330</t>
    </r>
    <r>
      <rPr>
        <sz val="14"/>
        <rFont val="標楷體"/>
        <family val="4"/>
        <charset val="136"/>
      </rPr>
      <t>千元、</t>
    </r>
    <r>
      <rPr>
        <sz val="14"/>
        <rFont val="Times New Roman"/>
        <family val="1"/>
      </rPr>
      <t>(6)</t>
    </r>
    <r>
      <rPr>
        <sz val="14"/>
        <rFont val="標楷體"/>
        <family val="4"/>
        <charset val="136"/>
      </rPr>
      <t>體育設施維護</t>
    </r>
    <r>
      <rPr>
        <sz val="14"/>
        <rFont val="Times New Roman"/>
        <family val="1"/>
      </rPr>
      <t>1,330</t>
    </r>
    <r>
      <rPr>
        <sz val="14"/>
        <rFont val="標楷體"/>
        <family val="4"/>
        <charset val="136"/>
      </rPr>
      <t>千元。</t>
    </r>
    <phoneticPr fontId="12" type="noConversion"/>
  </si>
  <si>
    <t>教務處
學務處</t>
    <phoneticPr fontId="12" type="noConversion"/>
  </si>
  <si>
    <t>C00</t>
    <phoneticPr fontId="12" type="noConversion"/>
  </si>
  <si>
    <t>C11</t>
    <phoneticPr fontId="12" type="noConversion"/>
  </si>
  <si>
    <t>學生平安保險費</t>
    <phoneticPr fontId="12" type="noConversion"/>
  </si>
  <si>
    <t>C30</t>
    <phoneticPr fontId="12" type="noConversion"/>
  </si>
  <si>
    <r>
      <t>學生公費及獎助學金</t>
    </r>
    <r>
      <rPr>
        <sz val="18"/>
        <rFont val="Times New Roman"/>
        <family val="1"/>
      </rPr>
      <t xml:space="preserve"> </t>
    </r>
    <phoneticPr fontId="12" type="noConversion"/>
  </si>
  <si>
    <t>C12</t>
    <phoneticPr fontId="12" type="noConversion"/>
  </si>
  <si>
    <t>性別平等</t>
    <phoneticPr fontId="12" type="noConversion"/>
  </si>
  <si>
    <t>性別平等
教育委員會</t>
    <phoneticPr fontId="12" type="noConversion"/>
  </si>
  <si>
    <t>C13</t>
    <phoneticPr fontId="12" type="noConversion"/>
  </si>
  <si>
    <t>服務學習</t>
    <phoneticPr fontId="12" type="noConversion"/>
  </si>
  <si>
    <t>C14</t>
    <phoneticPr fontId="12" type="noConversion"/>
  </si>
  <si>
    <t>學生社團</t>
    <phoneticPr fontId="12" type="noConversion"/>
  </si>
  <si>
    <t>C17</t>
    <phoneticPr fontId="12" type="noConversion"/>
  </si>
  <si>
    <t>新生入學指導暨迎新茶會</t>
    <phoneticPr fontId="12" type="noConversion"/>
  </si>
  <si>
    <t>C61</t>
    <phoneticPr fontId="12" type="noConversion"/>
  </si>
  <si>
    <t xml:space="preserve"> 導生活動費</t>
    <phoneticPr fontId="12" type="noConversion"/>
  </si>
  <si>
    <r>
      <rPr>
        <sz val="14"/>
        <rFont val="標楷體"/>
        <family val="4"/>
        <charset val="136"/>
      </rPr>
      <t>依</t>
    </r>
    <r>
      <rPr>
        <sz val="14"/>
        <rFont val="Times New Roman"/>
        <family val="1"/>
      </rPr>
      <t>107</t>
    </r>
    <r>
      <rPr>
        <sz val="14"/>
        <rFont val="標楷體"/>
        <family val="4"/>
        <charset val="136"/>
      </rPr>
      <t>學年度導師費預估
導師經費以每班每週輔導</t>
    </r>
    <r>
      <rPr>
        <sz val="14"/>
        <rFont val="Times New Roman"/>
        <family val="1"/>
      </rPr>
      <t>2</t>
    </r>
    <r>
      <rPr>
        <sz val="14"/>
        <rFont val="標楷體"/>
        <family val="4"/>
        <charset val="136"/>
      </rPr>
      <t>小時編列，其中</t>
    </r>
    <r>
      <rPr>
        <sz val="14"/>
        <rFont val="Times New Roman"/>
        <family val="1"/>
      </rPr>
      <t>1</t>
    </r>
    <r>
      <rPr>
        <sz val="14"/>
        <rFont val="標楷體"/>
        <family val="4"/>
        <charset val="136"/>
      </rPr>
      <t>小時為補助班導師輔導工作之費用，另一小時為聘任專任輔導老師、導生活動費、導師輔導知能研習費及其他相關輔導活動費用。</t>
    </r>
    <phoneticPr fontId="12" type="noConversion"/>
  </si>
  <si>
    <t>學務處合計</t>
    <phoneticPr fontId="12" type="noConversion"/>
  </si>
  <si>
    <t>D11</t>
    <phoneticPr fontId="12" type="noConversion"/>
  </si>
  <si>
    <r>
      <rPr>
        <sz val="14"/>
        <rFont val="標楷體"/>
        <family val="4"/>
        <charset val="136"/>
      </rPr>
      <t>依預計需求調整總務處及校區環境改善及房舍整修經費分配數。</t>
    </r>
    <phoneticPr fontId="12" type="noConversion"/>
  </si>
  <si>
    <t>D12</t>
    <phoneticPr fontId="12" type="noConversion"/>
  </si>
  <si>
    <r>
      <t>105</t>
    </r>
    <r>
      <rPr>
        <sz val="14"/>
        <rFont val="標楷體"/>
        <family val="4"/>
        <charset val="136"/>
      </rPr>
      <t>年</t>
    </r>
    <r>
      <rPr>
        <sz val="14"/>
        <rFont val="Times New Roman"/>
        <family val="1"/>
      </rPr>
      <t>10</t>
    </r>
    <r>
      <rPr>
        <sz val="14"/>
        <rFont val="標楷體"/>
        <family val="4"/>
        <charset val="136"/>
      </rPr>
      <t>月</t>
    </r>
    <r>
      <rPr>
        <sz val="14"/>
        <rFont val="Times New Roman"/>
        <family val="1"/>
      </rPr>
      <t>24</t>
    </r>
    <r>
      <rPr>
        <sz val="14"/>
        <rFont val="標楷體"/>
        <family val="4"/>
        <charset val="136"/>
      </rPr>
      <t>日</t>
    </r>
    <r>
      <rPr>
        <sz val="14"/>
        <rFont val="Times New Roman"/>
        <family val="1"/>
      </rPr>
      <t>105</t>
    </r>
    <r>
      <rPr>
        <sz val="14"/>
        <rFont val="標楷體"/>
        <family val="4"/>
        <charset val="136"/>
      </rPr>
      <t>學年度第</t>
    </r>
    <r>
      <rPr>
        <sz val="14"/>
        <rFont val="Times New Roman"/>
        <family val="1"/>
      </rPr>
      <t>1</t>
    </r>
    <r>
      <rPr>
        <sz val="14"/>
        <rFont val="標楷體"/>
        <family val="4"/>
        <charset val="136"/>
      </rPr>
      <t>次校務基金管理委員會會議通過，</t>
    </r>
    <r>
      <rPr>
        <sz val="14"/>
        <rFont val="Times New Roman"/>
        <family val="1"/>
      </rPr>
      <t>106</t>
    </r>
    <r>
      <rPr>
        <sz val="14"/>
        <rFont val="標楷體"/>
        <family val="4"/>
        <charset val="136"/>
      </rPr>
      <t>年起校區環境改善及房舍整修增列</t>
    </r>
    <r>
      <rPr>
        <sz val="14"/>
        <rFont val="Times New Roman"/>
        <family val="1"/>
      </rPr>
      <t>5,000</t>
    </r>
    <r>
      <rPr>
        <sz val="14"/>
        <rFont val="標楷體"/>
        <family val="4"/>
        <charset val="136"/>
      </rPr>
      <t>千元，由總務召開會議針對全校性的修繕計畫列優先順序。</t>
    </r>
    <phoneticPr fontId="12" type="noConversion"/>
  </si>
  <si>
    <t>E00</t>
    <phoneticPr fontId="12" type="noConversion"/>
  </si>
  <si>
    <t>E01</t>
    <phoneticPr fontId="12" type="noConversion"/>
  </si>
  <si>
    <t>E02</t>
    <phoneticPr fontId="12" type="noConversion"/>
  </si>
  <si>
    <t>E03</t>
    <phoneticPr fontId="12" type="noConversion"/>
  </si>
  <si>
    <t>E09</t>
    <phoneticPr fontId="12" type="noConversion"/>
  </si>
  <si>
    <t>專項大陸地區旅費</t>
    <phoneticPr fontId="12" type="noConversion"/>
  </si>
  <si>
    <t>P00</t>
    <phoneticPr fontId="12" type="noConversion"/>
  </si>
  <si>
    <t>F00</t>
    <phoneticPr fontId="12" type="noConversion"/>
  </si>
  <si>
    <t>創新產業暨國際學院</t>
    <phoneticPr fontId="12" type="noConversion"/>
  </si>
  <si>
    <t>創產國際
學院</t>
    <phoneticPr fontId="12" type="noConversion"/>
  </si>
  <si>
    <t>全球事務研究跨洲碩士學位學程</t>
    <phoneticPr fontId="12" type="noConversion"/>
  </si>
  <si>
    <t>創新產業暨國際學院合計</t>
    <phoneticPr fontId="12" type="noConversion"/>
  </si>
  <si>
    <t>G00</t>
    <phoneticPr fontId="12" type="noConversion"/>
  </si>
  <si>
    <t>G01</t>
    <phoneticPr fontId="12" type="noConversion"/>
  </si>
  <si>
    <t>G02</t>
    <phoneticPr fontId="12" type="noConversion"/>
  </si>
  <si>
    <t>G03</t>
    <phoneticPr fontId="12" type="noConversion"/>
  </si>
  <si>
    <t>G04</t>
    <phoneticPr fontId="12" type="noConversion"/>
  </si>
  <si>
    <t>H00</t>
    <phoneticPr fontId="12" type="noConversion"/>
  </si>
  <si>
    <t>H01</t>
    <phoneticPr fontId="12" type="noConversion"/>
  </si>
  <si>
    <t>K13</t>
    <phoneticPr fontId="12" type="noConversion"/>
  </si>
  <si>
    <t>田徑場外觀美化及內部空間整修</t>
    <phoneticPr fontId="12" type="noConversion"/>
  </si>
  <si>
    <t>田徑場及室外球場整建</t>
    <phoneticPr fontId="12" type="noConversion"/>
  </si>
  <si>
    <t>體育室合計</t>
    <phoneticPr fontId="12" type="noConversion"/>
  </si>
  <si>
    <t>J00</t>
    <phoneticPr fontId="12" type="noConversion"/>
  </si>
  <si>
    <t>K00</t>
    <phoneticPr fontId="12" type="noConversion"/>
  </si>
  <si>
    <t>K15</t>
    <phoneticPr fontId="12" type="noConversion"/>
  </si>
  <si>
    <t>K14</t>
    <phoneticPr fontId="12" type="noConversion"/>
  </si>
  <si>
    <t>停辦。</t>
    <phoneticPr fontId="12" type="noConversion"/>
  </si>
  <si>
    <t>K04</t>
    <phoneticPr fontId="12" type="noConversion"/>
  </si>
  <si>
    <t>進用身心障礙者校控準備金</t>
    <phoneticPr fontId="12" type="noConversion"/>
  </si>
  <si>
    <t>K05</t>
    <phoneticPr fontId="12" type="noConversion"/>
  </si>
  <si>
    <t>人事室合計</t>
    <phoneticPr fontId="12" type="noConversion"/>
  </si>
  <si>
    <t>L00</t>
    <phoneticPr fontId="12" type="noConversion"/>
  </si>
  <si>
    <t>M00</t>
    <phoneticPr fontId="12" type="noConversion"/>
  </si>
  <si>
    <t>N01</t>
    <phoneticPr fontId="12" type="noConversion"/>
  </si>
  <si>
    <t>N02</t>
    <phoneticPr fontId="12" type="noConversion"/>
  </si>
  <si>
    <t>N03</t>
    <phoneticPr fontId="12" type="noConversion"/>
  </si>
  <si>
    <t>N05</t>
    <phoneticPr fontId="12" type="noConversion"/>
  </si>
  <si>
    <t>N06</t>
    <phoneticPr fontId="12" type="noConversion"/>
  </si>
  <si>
    <t>職業安全衛生教育訓練</t>
    <phoneticPr fontId="12" type="noConversion"/>
  </si>
  <si>
    <t>N10</t>
    <phoneticPr fontId="12" type="noConversion"/>
  </si>
  <si>
    <t>專利申請維護費</t>
    <phoneticPr fontId="12" type="noConversion"/>
  </si>
  <si>
    <t>產學研鏈結中心</t>
    <phoneticPr fontId="12" type="noConversion"/>
  </si>
  <si>
    <t>產學研鏈結中心合計</t>
    <phoneticPr fontId="12" type="noConversion"/>
  </si>
  <si>
    <r>
      <t>109</t>
    </r>
    <r>
      <rPr>
        <sz val="14"/>
        <rFont val="標楷體"/>
        <family val="4"/>
        <charset val="136"/>
      </rPr>
      <t>年度無此計畫</t>
    </r>
    <phoneticPr fontId="2" type="noConversion"/>
  </si>
  <si>
    <t>F02</t>
    <phoneticPr fontId="2" type="noConversion"/>
  </si>
  <si>
    <r>
      <rPr>
        <sz val="14"/>
        <rFont val="標楷體"/>
        <family val="4"/>
        <charset val="136"/>
      </rPr>
      <t>依</t>
    </r>
    <r>
      <rPr>
        <sz val="14"/>
        <rFont val="Times New Roman"/>
        <family val="1"/>
      </rPr>
      <t>95.10.25</t>
    </r>
    <r>
      <rPr>
        <sz val="14"/>
        <rFont val="標楷體"/>
        <family val="4"/>
        <charset val="136"/>
      </rPr>
      <t>本校第</t>
    </r>
    <r>
      <rPr>
        <sz val="14"/>
        <rFont val="Times New Roman"/>
        <family val="1"/>
      </rPr>
      <t>323</t>
    </r>
    <r>
      <rPr>
        <sz val="14"/>
        <rFont val="標楷體"/>
        <family val="4"/>
        <charset val="136"/>
      </rPr>
      <t>次行政會議第六案決議：請主計室在經費分配項目分別列出圖書費及儀器費，各系每年圖書費至少</t>
    </r>
    <r>
      <rPr>
        <sz val="14"/>
        <rFont val="Times New Roman"/>
        <family val="1"/>
      </rPr>
      <t>10</t>
    </r>
    <r>
      <rPr>
        <sz val="14"/>
        <rFont val="標楷體"/>
        <family val="4"/>
        <charset val="136"/>
      </rPr>
      <t>萬，各所每年圖書費至少</t>
    </r>
    <r>
      <rPr>
        <sz val="14"/>
        <rFont val="Times New Roman"/>
        <family val="1"/>
      </rPr>
      <t>5</t>
    </r>
    <r>
      <rPr>
        <sz val="14"/>
        <rFont val="標楷體"/>
        <family val="4"/>
        <charset val="136"/>
      </rPr>
      <t>萬，圖書費可流入不得流出。文學院</t>
    </r>
    <r>
      <rPr>
        <sz val="14"/>
        <rFont val="Times New Roman"/>
        <family val="1"/>
      </rPr>
      <t>3</t>
    </r>
    <r>
      <rPr>
        <sz val="14"/>
        <rFont val="標楷體"/>
        <family val="4"/>
        <charset val="136"/>
      </rPr>
      <t>系</t>
    </r>
    <r>
      <rPr>
        <sz val="14"/>
        <rFont val="Times New Roman"/>
        <family val="1"/>
      </rPr>
      <t>2</t>
    </r>
    <r>
      <rPr>
        <sz val="14"/>
        <rFont val="標楷體"/>
        <family val="4"/>
        <charset val="136"/>
      </rPr>
      <t>所提列</t>
    </r>
    <r>
      <rPr>
        <sz val="14"/>
        <rFont val="Times New Roman"/>
        <family val="1"/>
      </rPr>
      <t>40</t>
    </r>
    <r>
      <rPr>
        <sz val="14"/>
        <rFont val="標楷體"/>
        <family val="4"/>
        <charset val="136"/>
      </rPr>
      <t>萬、農資院</t>
    </r>
    <r>
      <rPr>
        <sz val="14"/>
        <rFont val="Times New Roman"/>
        <family val="1"/>
      </rPr>
      <t>11</t>
    </r>
    <r>
      <rPr>
        <sz val="14"/>
        <rFont val="標楷體"/>
        <family val="4"/>
        <charset val="136"/>
      </rPr>
      <t>系</t>
    </r>
    <r>
      <rPr>
        <sz val="14"/>
        <rFont val="Times New Roman"/>
        <family val="1"/>
      </rPr>
      <t>3</t>
    </r>
    <r>
      <rPr>
        <sz val="14"/>
        <rFont val="標楷體"/>
        <family val="4"/>
        <charset val="136"/>
      </rPr>
      <t>所</t>
    </r>
    <r>
      <rPr>
        <sz val="14"/>
        <rFont val="Times New Roman"/>
        <family val="1"/>
      </rPr>
      <t>125</t>
    </r>
    <r>
      <rPr>
        <sz val="14"/>
        <rFont val="標楷體"/>
        <family val="4"/>
        <charset val="136"/>
      </rPr>
      <t>萬、理學院</t>
    </r>
    <r>
      <rPr>
        <sz val="14"/>
        <rFont val="Times New Roman"/>
        <family val="1"/>
      </rPr>
      <t>3</t>
    </r>
    <r>
      <rPr>
        <sz val="14"/>
        <rFont val="標楷體"/>
        <family val="4"/>
        <charset val="136"/>
      </rPr>
      <t>系</t>
    </r>
    <r>
      <rPr>
        <sz val="14"/>
        <rFont val="Times New Roman"/>
        <family val="1"/>
      </rPr>
      <t>2</t>
    </r>
    <r>
      <rPr>
        <sz val="14"/>
        <rFont val="標楷體"/>
        <family val="4"/>
        <charset val="136"/>
      </rPr>
      <t>所</t>
    </r>
    <r>
      <rPr>
        <sz val="14"/>
        <rFont val="Times New Roman"/>
        <family val="1"/>
      </rPr>
      <t>40</t>
    </r>
    <r>
      <rPr>
        <sz val="14"/>
        <rFont val="標楷體"/>
        <family val="4"/>
        <charset val="136"/>
      </rPr>
      <t>萬、工學院</t>
    </r>
    <r>
      <rPr>
        <sz val="14"/>
        <rFont val="Times New Roman"/>
        <family val="1"/>
      </rPr>
      <t>5</t>
    </r>
    <r>
      <rPr>
        <sz val="14"/>
        <rFont val="標楷體"/>
        <family val="4"/>
        <charset val="136"/>
      </rPr>
      <t>系</t>
    </r>
    <r>
      <rPr>
        <sz val="14"/>
        <rFont val="Times New Roman"/>
        <family val="1"/>
      </rPr>
      <t>2</t>
    </r>
    <r>
      <rPr>
        <sz val="14"/>
        <rFont val="標楷體"/>
        <family val="4"/>
        <charset val="136"/>
      </rPr>
      <t>所</t>
    </r>
    <r>
      <rPr>
        <sz val="14"/>
        <rFont val="Times New Roman"/>
        <family val="1"/>
      </rPr>
      <t>60</t>
    </r>
    <r>
      <rPr>
        <sz val="14"/>
        <rFont val="標楷體"/>
        <family val="4"/>
        <charset val="136"/>
      </rPr>
      <t>萬、生科院</t>
    </r>
    <r>
      <rPr>
        <sz val="14"/>
        <rFont val="Times New Roman"/>
        <family val="1"/>
      </rPr>
      <t>1</t>
    </r>
    <r>
      <rPr>
        <sz val="14"/>
        <rFont val="標楷體"/>
        <family val="4"/>
        <charset val="136"/>
      </rPr>
      <t>系</t>
    </r>
    <r>
      <rPr>
        <sz val="14"/>
        <rFont val="Times New Roman"/>
        <family val="1"/>
      </rPr>
      <t>4</t>
    </r>
    <r>
      <rPr>
        <sz val="14"/>
        <rFont val="標楷體"/>
        <family val="4"/>
        <charset val="136"/>
      </rPr>
      <t>所</t>
    </r>
    <r>
      <rPr>
        <sz val="14"/>
        <rFont val="Times New Roman"/>
        <family val="1"/>
      </rPr>
      <t>30</t>
    </r>
    <r>
      <rPr>
        <sz val="14"/>
        <rFont val="標楷體"/>
        <family val="4"/>
        <charset val="136"/>
      </rPr>
      <t>萬、獸醫學院</t>
    </r>
    <r>
      <rPr>
        <sz val="14"/>
        <rFont val="Times New Roman"/>
        <family val="1"/>
      </rPr>
      <t>1</t>
    </r>
    <r>
      <rPr>
        <sz val="14"/>
        <rFont val="標楷體"/>
        <family val="4"/>
        <charset val="136"/>
      </rPr>
      <t>系</t>
    </r>
    <r>
      <rPr>
        <sz val="14"/>
        <rFont val="Times New Roman"/>
        <family val="1"/>
      </rPr>
      <t>2</t>
    </r>
    <r>
      <rPr>
        <sz val="14"/>
        <rFont val="標楷體"/>
        <family val="4"/>
        <charset val="136"/>
      </rPr>
      <t>所</t>
    </r>
    <r>
      <rPr>
        <sz val="14"/>
        <rFont val="Times New Roman"/>
        <family val="1"/>
      </rPr>
      <t>20</t>
    </r>
    <r>
      <rPr>
        <sz val="14"/>
        <rFont val="標楷體"/>
        <family val="4"/>
        <charset val="136"/>
      </rPr>
      <t>萬、管理學院</t>
    </r>
    <r>
      <rPr>
        <sz val="14"/>
        <rFont val="Times New Roman"/>
        <family val="1"/>
      </rPr>
      <t>5</t>
    </r>
    <r>
      <rPr>
        <sz val="14"/>
        <rFont val="標楷體"/>
        <family val="4"/>
        <charset val="136"/>
      </rPr>
      <t>系</t>
    </r>
    <r>
      <rPr>
        <sz val="14"/>
        <rFont val="Times New Roman"/>
        <family val="1"/>
      </rPr>
      <t>2</t>
    </r>
    <r>
      <rPr>
        <sz val="14"/>
        <rFont val="標楷體"/>
        <family val="4"/>
        <charset val="136"/>
      </rPr>
      <t>所</t>
    </r>
    <r>
      <rPr>
        <sz val="14"/>
        <rFont val="Times New Roman"/>
        <family val="1"/>
      </rPr>
      <t>60</t>
    </r>
    <r>
      <rPr>
        <sz val="14"/>
        <rFont val="標楷體"/>
        <family val="4"/>
        <charset val="136"/>
      </rPr>
      <t>萬、法政學院</t>
    </r>
    <r>
      <rPr>
        <sz val="14"/>
        <rFont val="Times New Roman"/>
        <family val="1"/>
      </rPr>
      <t>1</t>
    </r>
    <r>
      <rPr>
        <sz val="14"/>
        <rFont val="標楷體"/>
        <family val="4"/>
        <charset val="136"/>
      </rPr>
      <t>系</t>
    </r>
    <r>
      <rPr>
        <sz val="14"/>
        <rFont val="Times New Roman"/>
        <family val="1"/>
      </rPr>
      <t>3</t>
    </r>
    <r>
      <rPr>
        <sz val="14"/>
        <rFont val="標楷體"/>
        <family val="4"/>
        <charset val="136"/>
      </rPr>
      <t>所</t>
    </r>
    <r>
      <rPr>
        <sz val="14"/>
        <rFont val="Times New Roman"/>
        <family val="1"/>
      </rPr>
      <t>25</t>
    </r>
    <r>
      <rPr>
        <sz val="14"/>
        <rFont val="標楷體"/>
        <family val="4"/>
        <charset val="136"/>
      </rPr>
      <t>萬、電資學院</t>
    </r>
    <r>
      <rPr>
        <sz val="14"/>
        <rFont val="Times New Roman"/>
        <family val="1"/>
      </rPr>
      <t>2</t>
    </r>
    <r>
      <rPr>
        <sz val="14"/>
        <rFont val="標楷體"/>
        <family val="4"/>
        <charset val="136"/>
      </rPr>
      <t>系</t>
    </r>
    <r>
      <rPr>
        <sz val="14"/>
        <rFont val="Times New Roman"/>
        <family val="1"/>
      </rPr>
      <t>20</t>
    </r>
    <r>
      <rPr>
        <sz val="14"/>
        <rFont val="標楷體"/>
        <family val="4"/>
        <charset val="136"/>
      </rPr>
      <t>萬。</t>
    </r>
    <phoneticPr fontId="12" type="noConversion"/>
  </si>
  <si>
    <r>
      <rPr>
        <sz val="18"/>
        <rFont val="細明體"/>
        <family val="3"/>
        <charset val="136"/>
      </rPr>
      <t>提升興大能見度</t>
    </r>
    <r>
      <rPr>
        <sz val="18"/>
        <rFont val="Times New Roman"/>
        <family val="1"/>
      </rPr>
      <t>-ORCID</t>
    </r>
    <r>
      <rPr>
        <sz val="18"/>
        <rFont val="細明體"/>
        <family val="3"/>
        <charset val="136"/>
      </rPr>
      <t>導入計畫</t>
    </r>
    <r>
      <rPr>
        <sz val="18"/>
        <rFont val="Times New Roman"/>
        <family val="1"/>
      </rPr>
      <t>(109~111</t>
    </r>
    <r>
      <rPr>
        <sz val="18"/>
        <rFont val="細明體"/>
        <family val="3"/>
        <charset val="136"/>
      </rPr>
      <t>年</t>
    </r>
    <r>
      <rPr>
        <sz val="18"/>
        <rFont val="Times New Roman"/>
        <family val="1"/>
      </rPr>
      <t>)</t>
    </r>
    <phoneticPr fontId="2" type="noConversion"/>
  </si>
  <si>
    <t>圖書館</t>
    <phoneticPr fontId="2" type="noConversion"/>
  </si>
  <si>
    <r>
      <rPr>
        <sz val="14"/>
        <color theme="0"/>
        <rFont val="標楷體"/>
        <family val="4"/>
        <charset val="136"/>
      </rPr>
      <t>因萊爾富回饋禮卷</t>
    </r>
    <r>
      <rPr>
        <sz val="14"/>
        <color theme="0"/>
        <rFont val="Times New Roman"/>
        <family val="1"/>
      </rPr>
      <t>50</t>
    </r>
    <r>
      <rPr>
        <sz val="14"/>
        <color theme="0"/>
        <rFont val="標楷體"/>
        <family val="4"/>
        <charset val="136"/>
      </rPr>
      <t>萬元，分配後同額減列生日禮券</t>
    </r>
    <r>
      <rPr>
        <sz val="14"/>
        <color theme="0"/>
        <rFont val="Times New Roman"/>
        <family val="1"/>
      </rPr>
      <t>(</t>
    </r>
    <r>
      <rPr>
        <sz val="14"/>
        <color theme="0"/>
        <rFont val="標楷體"/>
        <family val="4"/>
        <charset val="136"/>
      </rPr>
      <t>文康活動</t>
    </r>
    <r>
      <rPr>
        <sz val="14"/>
        <color theme="0"/>
        <rFont val="Times New Roman"/>
        <family val="1"/>
      </rPr>
      <t>)</t>
    </r>
    <r>
      <rPr>
        <sz val="14"/>
        <color theme="0"/>
        <rFont val="標楷體"/>
        <family val="4"/>
        <charset val="136"/>
      </rPr>
      <t>分配數</t>
    </r>
    <r>
      <rPr>
        <sz val="14"/>
        <color theme="0"/>
        <rFont val="Times New Roman"/>
        <family val="1"/>
      </rPr>
      <t>50</t>
    </r>
    <r>
      <rPr>
        <sz val="14"/>
        <color theme="0"/>
        <rFont val="標楷體"/>
        <family val="4"/>
        <charset val="136"/>
      </rPr>
      <t>萬元</t>
    </r>
    <phoneticPr fontId="2" type="noConversion"/>
  </si>
  <si>
    <r>
      <t>1.</t>
    </r>
    <r>
      <rPr>
        <sz val="14"/>
        <rFont val="標楷體"/>
        <family val="4"/>
        <charset val="136"/>
      </rPr>
      <t>進用身障學生經費</t>
    </r>
    <r>
      <rPr>
        <sz val="14"/>
        <rFont val="Times New Roman"/>
        <family val="1"/>
      </rPr>
      <t>93</t>
    </r>
    <r>
      <rPr>
        <sz val="14"/>
        <rFont val="標楷體"/>
        <family val="4"/>
        <charset val="136"/>
      </rPr>
      <t xml:space="preserve">萬元。
</t>
    </r>
    <r>
      <rPr>
        <sz val="14"/>
        <rFont val="Times New Roman"/>
        <family val="1"/>
      </rPr>
      <t>2.</t>
    </r>
    <r>
      <rPr>
        <sz val="14"/>
        <rFont val="標楷體"/>
        <family val="4"/>
        <charset val="136"/>
      </rPr>
      <t>各單位未足額進用身障人員應扣減之差額補助費，於年度結束時統一計算該年度各一級單位應扣繳數額，於下年度扣減其預算分配數</t>
    </r>
    <r>
      <rPr>
        <sz val="14"/>
        <rFont val="Times New Roman"/>
        <family val="1"/>
      </rPr>
      <t>(</t>
    </r>
    <r>
      <rPr>
        <sz val="14"/>
        <rFont val="標楷體"/>
        <family val="4"/>
        <charset val="136"/>
      </rPr>
      <t>簽呈</t>
    </r>
    <r>
      <rPr>
        <sz val="14"/>
        <rFont val="Times New Roman"/>
        <family val="1"/>
      </rPr>
      <t>1080052632)</t>
    </r>
    <r>
      <rPr>
        <sz val="14"/>
        <rFont val="標楷體"/>
        <family val="4"/>
        <charset val="136"/>
      </rPr>
      <t>。</t>
    </r>
    <phoneticPr fontId="12" type="noConversion"/>
  </si>
  <si>
    <t>師資培育自我評鑑(109-111年)</t>
    <phoneticPr fontId="2" type="noConversion"/>
  </si>
  <si>
    <t>藝術中心</t>
    <phoneticPr fontId="2" type="noConversion"/>
  </si>
  <si>
    <t>N063</t>
    <phoneticPr fontId="12" type="noConversion"/>
  </si>
  <si>
    <t>E061</t>
    <phoneticPr fontId="12" type="noConversion"/>
  </si>
  <si>
    <t>單位：千元</t>
    <phoneticPr fontId="12" type="noConversion"/>
  </si>
  <si>
    <r>
      <t>108</t>
    </r>
    <r>
      <rPr>
        <sz val="16"/>
        <rFont val="細明體"/>
        <family val="3"/>
        <charset val="136"/>
      </rPr>
      <t>年度經費分配數額</t>
    </r>
    <phoneticPr fontId="12" type="noConversion"/>
  </si>
  <si>
    <r>
      <t>108</t>
    </r>
    <r>
      <rPr>
        <sz val="16"/>
        <rFont val="細明體"/>
        <family val="3"/>
        <charset val="136"/>
      </rPr>
      <t>年度行政單位控留款</t>
    </r>
    <phoneticPr fontId="12" type="noConversion"/>
  </si>
  <si>
    <r>
      <t>108</t>
    </r>
    <r>
      <rPr>
        <sz val="16"/>
        <rFont val="細明體"/>
        <family val="3"/>
        <charset val="136"/>
      </rPr>
      <t xml:space="preserve">年度經費分配數額
</t>
    </r>
    <r>
      <rPr>
        <sz val="16"/>
        <rFont val="Times New Roman"/>
        <family val="1"/>
      </rPr>
      <t>(</t>
    </r>
    <r>
      <rPr>
        <sz val="16"/>
        <rFont val="細明體"/>
        <family val="3"/>
        <charset val="136"/>
      </rPr>
      <t>單位不含行政單位控留款</t>
    </r>
    <r>
      <rPr>
        <sz val="16"/>
        <rFont val="Times New Roman"/>
        <family val="1"/>
      </rPr>
      <t>)</t>
    </r>
    <phoneticPr fontId="12" type="noConversion"/>
  </si>
  <si>
    <r>
      <rPr>
        <sz val="16"/>
        <rFont val="細明體"/>
        <family val="3"/>
        <charset val="136"/>
      </rPr>
      <t>設備費通刪</t>
    </r>
    <r>
      <rPr>
        <sz val="16"/>
        <rFont val="Times New Roman"/>
        <family val="1"/>
      </rPr>
      <t>4.02%</t>
    </r>
    <phoneticPr fontId="12" type="noConversion"/>
  </si>
  <si>
    <r>
      <t>108</t>
    </r>
    <r>
      <rPr>
        <sz val="16"/>
        <rFont val="細明體"/>
        <family val="3"/>
        <charset val="136"/>
      </rPr>
      <t>年度經費分配數額
扣除行政單位控留款及設備費通刪</t>
    </r>
    <r>
      <rPr>
        <sz val="16"/>
        <rFont val="Times New Roman"/>
        <family val="1"/>
      </rPr>
      <t>)</t>
    </r>
    <phoneticPr fontId="12" type="noConversion"/>
  </si>
  <si>
    <r>
      <rPr>
        <sz val="16"/>
        <rFont val="細明體"/>
        <family val="3"/>
        <charset val="136"/>
      </rPr>
      <t>較</t>
    </r>
    <r>
      <rPr>
        <sz val="16"/>
        <rFont val="Times New Roman"/>
        <family val="1"/>
      </rPr>
      <t>108</t>
    </r>
    <r>
      <rPr>
        <sz val="16"/>
        <rFont val="細明體"/>
        <family val="3"/>
        <charset val="136"/>
      </rPr>
      <t>年度增減數</t>
    </r>
    <phoneticPr fontId="2" type="noConversion"/>
  </si>
  <si>
    <r>
      <t>108</t>
    </r>
    <r>
      <rPr>
        <sz val="16"/>
        <rFont val="細明體"/>
        <family val="3"/>
        <charset val="136"/>
      </rPr>
      <t>年度備註</t>
    </r>
    <phoneticPr fontId="12" type="noConversion"/>
  </si>
  <si>
    <r>
      <t>107</t>
    </r>
    <r>
      <rPr>
        <sz val="16"/>
        <rFont val="細明體"/>
        <family val="3"/>
        <charset val="136"/>
      </rPr>
      <t>年度經費分配數額</t>
    </r>
    <phoneticPr fontId="12" type="noConversion"/>
  </si>
  <si>
    <r>
      <rPr>
        <sz val="16"/>
        <rFont val="細明體"/>
        <family val="3"/>
        <charset val="136"/>
      </rPr>
      <t>設備費通刪</t>
    </r>
    <r>
      <rPr>
        <sz val="16"/>
        <rFont val="Times New Roman"/>
        <family val="1"/>
      </rPr>
      <t>7.77%</t>
    </r>
    <phoneticPr fontId="12" type="noConversion"/>
  </si>
  <si>
    <r>
      <t>107</t>
    </r>
    <r>
      <rPr>
        <sz val="16"/>
        <rFont val="細明體"/>
        <family val="3"/>
        <charset val="136"/>
      </rPr>
      <t>年度行政單位控留款</t>
    </r>
    <phoneticPr fontId="12" type="noConversion"/>
  </si>
  <si>
    <r>
      <t>107</t>
    </r>
    <r>
      <rPr>
        <sz val="16"/>
        <rFont val="細明體"/>
        <family val="3"/>
        <charset val="136"/>
      </rPr>
      <t xml:space="preserve">年度經費分配數額
</t>
    </r>
    <r>
      <rPr>
        <sz val="16"/>
        <rFont val="Times New Roman"/>
        <family val="1"/>
      </rPr>
      <t>(</t>
    </r>
    <r>
      <rPr>
        <sz val="16"/>
        <rFont val="細明體"/>
        <family val="3"/>
        <charset val="136"/>
      </rPr>
      <t>扣除行政單位控留款及資本門通刪</t>
    </r>
    <r>
      <rPr>
        <sz val="16"/>
        <rFont val="Times New Roman"/>
        <family val="1"/>
      </rPr>
      <t>7.77%)</t>
    </r>
    <phoneticPr fontId="12" type="noConversion"/>
  </si>
  <si>
    <r>
      <rPr>
        <sz val="16"/>
        <rFont val="細明體"/>
        <family val="3"/>
        <charset val="136"/>
      </rPr>
      <t>較</t>
    </r>
    <r>
      <rPr>
        <sz val="16"/>
        <rFont val="Times New Roman"/>
        <family val="1"/>
      </rPr>
      <t>107</t>
    </r>
    <r>
      <rPr>
        <sz val="16"/>
        <rFont val="細明體"/>
        <family val="3"/>
        <charset val="136"/>
      </rPr>
      <t>年度增減數</t>
    </r>
    <phoneticPr fontId="12" type="noConversion"/>
  </si>
  <si>
    <r>
      <t>107</t>
    </r>
    <r>
      <rPr>
        <sz val="16"/>
        <rFont val="細明體"/>
        <family val="3"/>
        <charset val="136"/>
      </rPr>
      <t>年度備註</t>
    </r>
    <phoneticPr fontId="12" type="noConversion"/>
  </si>
  <si>
    <r>
      <t>106</t>
    </r>
    <r>
      <rPr>
        <sz val="16"/>
        <rFont val="細明體"/>
        <family val="3"/>
        <charset val="136"/>
      </rPr>
      <t>年度經費分配數額</t>
    </r>
    <phoneticPr fontId="12" type="noConversion"/>
  </si>
  <si>
    <r>
      <t>106</t>
    </r>
    <r>
      <rPr>
        <sz val="16"/>
        <rFont val="細明體"/>
        <family val="3"/>
        <charset val="136"/>
      </rPr>
      <t>年度行政單位控留款</t>
    </r>
    <phoneticPr fontId="12" type="noConversion"/>
  </si>
  <si>
    <r>
      <t>106</t>
    </r>
    <r>
      <rPr>
        <sz val="16"/>
        <rFont val="細明體"/>
        <family val="3"/>
        <charset val="136"/>
      </rPr>
      <t xml:space="preserve">年度經費分配數額
</t>
    </r>
    <r>
      <rPr>
        <sz val="16"/>
        <rFont val="Times New Roman"/>
        <family val="1"/>
      </rPr>
      <t>(</t>
    </r>
    <r>
      <rPr>
        <sz val="16"/>
        <rFont val="細明體"/>
        <family val="3"/>
        <charset val="136"/>
      </rPr>
      <t>不含行政單位控留款</t>
    </r>
    <r>
      <rPr>
        <sz val="16"/>
        <rFont val="Times New Roman"/>
        <family val="1"/>
      </rPr>
      <t>)</t>
    </r>
    <phoneticPr fontId="12" type="noConversion"/>
  </si>
  <si>
    <r>
      <rPr>
        <sz val="16"/>
        <rFont val="細明體"/>
        <family val="3"/>
        <charset val="136"/>
      </rPr>
      <t>較</t>
    </r>
    <r>
      <rPr>
        <sz val="16"/>
        <rFont val="Times New Roman"/>
        <family val="1"/>
      </rPr>
      <t>106</t>
    </r>
    <r>
      <rPr>
        <sz val="16"/>
        <rFont val="細明體"/>
        <family val="3"/>
        <charset val="136"/>
      </rPr>
      <t>年度增減數</t>
    </r>
    <phoneticPr fontId="12" type="noConversion"/>
  </si>
  <si>
    <r>
      <t>106</t>
    </r>
    <r>
      <rPr>
        <sz val="16"/>
        <rFont val="新細明體"/>
        <family val="1"/>
        <charset val="136"/>
      </rPr>
      <t>年度備註</t>
    </r>
    <phoneticPr fontId="12" type="noConversion"/>
  </si>
  <si>
    <r>
      <t>105</t>
    </r>
    <r>
      <rPr>
        <sz val="16"/>
        <rFont val="新細明體"/>
        <family val="1"/>
        <charset val="136"/>
      </rPr>
      <t>年度合計</t>
    </r>
    <phoneticPr fontId="12" type="noConversion"/>
  </si>
  <si>
    <t>105年度行政單位控留數</t>
    <phoneticPr fontId="12" type="noConversion"/>
  </si>
  <si>
    <t>105年度經費分配數額
(不含行政單位控留款)</t>
    <phoneticPr fontId="12" type="noConversion"/>
  </si>
  <si>
    <r>
      <t>10</t>
    </r>
    <r>
      <rPr>
        <sz val="16"/>
        <rFont val="新細明體"/>
        <family val="1"/>
        <charset val="136"/>
      </rPr>
      <t>5</t>
    </r>
    <r>
      <rPr>
        <sz val="16"/>
        <rFont val="新細明體"/>
        <family val="1"/>
        <charset val="136"/>
      </rPr>
      <t>年度備註</t>
    </r>
    <phoneticPr fontId="12" type="noConversion"/>
  </si>
  <si>
    <r>
      <t>103</t>
    </r>
    <r>
      <rPr>
        <sz val="16"/>
        <rFont val="新細明體"/>
        <family val="1"/>
        <charset val="136"/>
      </rPr>
      <t>年度經費分配數額
(扣除行政單位控留數)</t>
    </r>
    <phoneticPr fontId="12" type="noConversion"/>
  </si>
  <si>
    <t>103年度行政單位凍結數</t>
    <phoneticPr fontId="12" type="noConversion"/>
  </si>
  <si>
    <t>103年度合計</t>
    <phoneticPr fontId="12" type="noConversion"/>
  </si>
  <si>
    <t>103年度備註</t>
    <phoneticPr fontId="12" type="noConversion"/>
  </si>
  <si>
    <t>設備費</t>
    <phoneticPr fontId="12" type="noConversion"/>
  </si>
  <si>
    <t>經常費</t>
    <phoneticPr fontId="12" type="noConversion"/>
  </si>
  <si>
    <t>經資合計</t>
    <phoneticPr fontId="12" type="noConversion"/>
  </si>
  <si>
    <t>103年度可分配數額為193,370千元，各單位需求數(不含水電費、學生公費與獎助學金及全校軟體授權)計391,564千元，短絀198,194千元。</t>
    <phoneticPr fontId="12" type="noConversion"/>
  </si>
  <si>
    <r>
      <rPr>
        <sz val="14"/>
        <rFont val="標楷體"/>
        <family val="4"/>
        <charset val="136"/>
      </rPr>
      <t>包含台綜大正興城灣盃</t>
    </r>
    <r>
      <rPr>
        <sz val="14"/>
        <rFont val="Times New Roman"/>
        <family val="1"/>
      </rPr>
      <t>3,188</t>
    </r>
    <r>
      <rPr>
        <sz val="14"/>
        <rFont val="標楷體"/>
        <family val="4"/>
        <charset val="136"/>
      </rPr>
      <t>千元</t>
    </r>
    <phoneticPr fontId="12" type="noConversion"/>
  </si>
  <si>
    <r>
      <t>106</t>
    </r>
    <r>
      <rPr>
        <sz val="14"/>
        <rFont val="標楷體"/>
        <family val="4"/>
        <charset val="136"/>
      </rPr>
      <t>年度起分配至校長室</t>
    </r>
    <phoneticPr fontId="12" type="noConversion"/>
  </si>
  <si>
    <r>
      <t>108</t>
    </r>
    <r>
      <rPr>
        <sz val="14"/>
        <rFont val="標楷體"/>
        <family val="4"/>
        <charset val="136"/>
      </rPr>
      <t>年度獲內政部建研所補助</t>
    </r>
    <r>
      <rPr>
        <sz val="14"/>
        <rFont val="Times New Roman"/>
        <family val="1"/>
      </rPr>
      <t>22,182</t>
    </r>
    <r>
      <rPr>
        <sz val="14"/>
        <rFont val="標楷體"/>
        <family val="4"/>
        <charset val="136"/>
      </rPr>
      <t>千元，需配合款</t>
    </r>
    <r>
      <rPr>
        <sz val="14"/>
        <rFont val="Times New Roman"/>
        <family val="1"/>
      </rPr>
      <t>9,688</t>
    </r>
    <r>
      <rPr>
        <sz val="14"/>
        <rFont val="標楷體"/>
        <family val="4"/>
        <charset val="136"/>
      </rPr>
      <t>千元</t>
    </r>
    <r>
      <rPr>
        <sz val="14"/>
        <rFont val="Times New Roman"/>
        <family val="1"/>
      </rPr>
      <t>(</t>
    </r>
    <r>
      <rPr>
        <sz val="14"/>
        <rFont val="標楷體"/>
        <family val="4"/>
        <charset val="136"/>
      </rPr>
      <t>資本門</t>
    </r>
    <r>
      <rPr>
        <sz val="14"/>
        <rFont val="Times New Roman"/>
        <family val="1"/>
      </rPr>
      <t>)</t>
    </r>
    <r>
      <rPr>
        <sz val="14"/>
        <rFont val="標楷體"/>
        <family val="4"/>
        <charset val="136"/>
      </rPr>
      <t>及支援此項計畫經費</t>
    </r>
    <r>
      <rPr>
        <sz val="14"/>
        <rFont val="Times New Roman"/>
        <family val="1"/>
      </rPr>
      <t>312</t>
    </r>
    <r>
      <rPr>
        <sz val="14"/>
        <rFont val="標楷體"/>
        <family val="4"/>
        <charset val="136"/>
      </rPr>
      <t>千元</t>
    </r>
    <r>
      <rPr>
        <sz val="14"/>
        <rFont val="Times New Roman"/>
        <family val="1"/>
      </rPr>
      <t>(</t>
    </r>
    <r>
      <rPr>
        <sz val="14"/>
        <rFont val="標楷體"/>
        <family val="4"/>
        <charset val="136"/>
      </rPr>
      <t>經常門</t>
    </r>
    <r>
      <rPr>
        <sz val="14"/>
        <rFont val="Times New Roman"/>
        <family val="1"/>
      </rPr>
      <t>)</t>
    </r>
    <r>
      <rPr>
        <sz val="14"/>
        <rFont val="標楷體"/>
        <family val="4"/>
        <charset val="136"/>
      </rPr>
      <t>。</t>
    </r>
    <phoneticPr fontId="12" type="noConversion"/>
  </si>
  <si>
    <r>
      <rPr>
        <sz val="14"/>
        <rFont val="標楷體"/>
        <family val="4"/>
        <charset val="136"/>
      </rPr>
      <t>依計畫申請補助作業須知，校配合款需</t>
    </r>
    <r>
      <rPr>
        <sz val="14"/>
        <rFont val="Times New Roman"/>
        <family val="1"/>
      </rPr>
      <t>30</t>
    </r>
    <r>
      <rPr>
        <sz val="14"/>
        <rFont val="標楷體"/>
        <family val="4"/>
        <charset val="136"/>
      </rPr>
      <t>％，計</t>
    </r>
    <r>
      <rPr>
        <sz val="14"/>
        <rFont val="Times New Roman"/>
        <family val="1"/>
      </rPr>
      <t xml:space="preserve"> 4,756,693</t>
    </r>
    <r>
      <rPr>
        <sz val="14"/>
        <rFont val="標楷體"/>
        <family val="4"/>
        <charset val="136"/>
      </rPr>
      <t>元。</t>
    </r>
    <phoneticPr fontId="12" type="noConversion"/>
  </si>
  <si>
    <r>
      <t>106</t>
    </r>
    <r>
      <rPr>
        <sz val="14"/>
        <rFont val="標楷體"/>
        <family val="4"/>
        <charset val="136"/>
      </rPr>
      <t>年度新增專項需求</t>
    </r>
    <phoneticPr fontId="12" type="noConversion"/>
  </si>
  <si>
    <r>
      <t>1.</t>
    </r>
    <r>
      <rPr>
        <sz val="14"/>
        <rFont val="標楷體"/>
        <family val="4"/>
        <charset val="136"/>
      </rPr>
      <t>包含通識教育中心經費及</t>
    </r>
    <r>
      <rPr>
        <sz val="14"/>
        <rFont val="Times New Roman"/>
        <family val="1"/>
      </rPr>
      <t>107</t>
    </r>
    <r>
      <rPr>
        <sz val="14"/>
        <rFont val="標楷體"/>
        <family val="4"/>
        <charset val="136"/>
      </rPr>
      <t>年度起增列</t>
    </r>
    <r>
      <rPr>
        <sz val="14"/>
        <rFont val="Times New Roman"/>
        <family val="1"/>
      </rPr>
      <t>iLearning</t>
    </r>
    <r>
      <rPr>
        <sz val="14"/>
        <rFont val="標楷體"/>
        <family val="4"/>
        <charset val="136"/>
      </rPr>
      <t>平台維護費</t>
    </r>
    <r>
      <rPr>
        <sz val="14"/>
        <rFont val="Times New Roman"/>
        <family val="1"/>
      </rPr>
      <t>(</t>
    </r>
    <r>
      <rPr>
        <sz val="14"/>
        <rFont val="標楷體"/>
        <family val="4"/>
        <charset val="136"/>
      </rPr>
      <t>經常門</t>
    </r>
    <r>
      <rPr>
        <sz val="14"/>
        <rFont val="Times New Roman"/>
        <family val="1"/>
      </rPr>
      <t>)200</t>
    </r>
    <r>
      <rPr>
        <sz val="14"/>
        <rFont val="標楷體"/>
        <family val="4"/>
        <charset val="136"/>
      </rPr>
      <t xml:space="preserve">千元。
</t>
    </r>
    <r>
      <rPr>
        <sz val="14"/>
        <rFont val="Times New Roman"/>
        <family val="1"/>
      </rPr>
      <t>2.107</t>
    </r>
    <r>
      <rPr>
        <sz val="14"/>
        <rFont val="標楷體"/>
        <family val="4"/>
        <charset val="136"/>
      </rPr>
      <t>年度預算分配決議：</t>
    </r>
    <r>
      <rPr>
        <b/>
        <sz val="14"/>
        <rFont val="Times New Roman"/>
        <family val="1"/>
      </rPr>
      <t>iLearning</t>
    </r>
    <r>
      <rPr>
        <b/>
        <sz val="14"/>
        <rFont val="標楷體"/>
        <family val="4"/>
        <charset val="136"/>
      </rPr>
      <t>平台維護費視教育部核列補助本校高教深耕等計畫經費後，配合轉正由計畫支應。</t>
    </r>
    <phoneticPr fontId="12" type="noConversion"/>
  </si>
  <si>
    <r>
      <t>1.</t>
    </r>
    <r>
      <rPr>
        <sz val="14"/>
        <rFont val="標楷體"/>
        <family val="4"/>
        <charset val="136"/>
      </rPr>
      <t>因應系統平台轉換，自</t>
    </r>
    <r>
      <rPr>
        <sz val="14"/>
        <rFont val="Times New Roman"/>
        <family val="1"/>
      </rPr>
      <t>107</t>
    </r>
    <r>
      <rPr>
        <sz val="14"/>
        <rFont val="標楷體"/>
        <family val="4"/>
        <charset val="136"/>
      </rPr>
      <t>年起經常費增列</t>
    </r>
    <r>
      <rPr>
        <sz val="14"/>
        <rFont val="Times New Roman"/>
        <family val="1"/>
      </rPr>
      <t>iLearning</t>
    </r>
    <r>
      <rPr>
        <sz val="14"/>
        <rFont val="標楷體"/>
        <family val="4"/>
        <charset val="136"/>
      </rPr>
      <t>平台維護費</t>
    </r>
    <r>
      <rPr>
        <sz val="14"/>
        <rFont val="Times New Roman"/>
        <family val="1"/>
      </rPr>
      <t>200</t>
    </r>
    <r>
      <rPr>
        <sz val="14"/>
        <rFont val="標楷體"/>
        <family val="4"/>
        <charset val="136"/>
      </rPr>
      <t xml:space="preserve">千元。
</t>
    </r>
    <r>
      <rPr>
        <sz val="14"/>
        <rFont val="Times New Roman"/>
        <family val="1"/>
      </rPr>
      <t>2.iLearning</t>
    </r>
    <r>
      <rPr>
        <sz val="14"/>
        <rFont val="標楷體"/>
        <family val="4"/>
        <charset val="136"/>
      </rPr>
      <t>平台維護費視</t>
    </r>
    <r>
      <rPr>
        <sz val="14"/>
        <rFont val="Times New Roman"/>
        <family val="1"/>
      </rPr>
      <t>107</t>
    </r>
    <r>
      <rPr>
        <sz val="14"/>
        <rFont val="標楷體"/>
        <family val="4"/>
        <charset val="136"/>
      </rPr>
      <t xml:space="preserve">年度教育部核列補助本校高教深耕等計畫經費後，配合轉正由計畫支應。
</t>
    </r>
    <r>
      <rPr>
        <sz val="14"/>
        <rFont val="Times New Roman"/>
        <family val="1"/>
      </rPr>
      <t>3.</t>
    </r>
    <r>
      <rPr>
        <sz val="14"/>
        <rFont val="標楷體"/>
        <family val="4"/>
        <charset val="136"/>
      </rPr>
      <t>因</t>
    </r>
    <r>
      <rPr>
        <sz val="14"/>
        <rFont val="Times New Roman"/>
        <family val="1"/>
      </rPr>
      <t>107</t>
    </r>
    <r>
      <rPr>
        <sz val="14"/>
        <rFont val="標楷體"/>
        <family val="4"/>
        <charset val="136"/>
      </rPr>
      <t>年</t>
    </r>
    <r>
      <rPr>
        <sz val="14"/>
        <rFont val="Times New Roman"/>
        <family val="1"/>
      </rPr>
      <t>2</t>
    </r>
    <r>
      <rPr>
        <sz val="14"/>
        <rFont val="標楷體"/>
        <family val="4"/>
        <charset val="136"/>
      </rPr>
      <t>月</t>
    </r>
    <r>
      <rPr>
        <sz val="14"/>
        <rFont val="Times New Roman"/>
        <family val="1"/>
      </rPr>
      <t>1</t>
    </r>
    <r>
      <rPr>
        <sz val="14"/>
        <rFont val="標楷體"/>
        <family val="4"/>
        <charset val="136"/>
      </rPr>
      <t>起通識教育中心改隸教務處，故教務處經費包含通識教育中心</t>
    </r>
    <r>
      <rPr>
        <sz val="14"/>
        <rFont val="Times New Roman"/>
        <family val="1"/>
      </rPr>
      <t>1,051</t>
    </r>
    <r>
      <rPr>
        <sz val="14"/>
        <rFont val="標楷體"/>
        <family val="4"/>
        <charset val="136"/>
      </rPr>
      <t>千元</t>
    </r>
    <r>
      <rPr>
        <sz val="14"/>
        <rFont val="Times New Roman"/>
        <family val="1"/>
      </rPr>
      <t>(</t>
    </r>
    <r>
      <rPr>
        <sz val="14"/>
        <rFont val="標楷體"/>
        <family val="4"/>
        <charset val="136"/>
      </rPr>
      <t>經常門</t>
    </r>
    <r>
      <rPr>
        <sz val="14"/>
        <rFont val="Times New Roman"/>
        <family val="1"/>
      </rPr>
      <t>978</t>
    </r>
    <r>
      <rPr>
        <sz val="14"/>
        <rFont val="標楷體"/>
        <family val="4"/>
        <charset val="136"/>
      </rPr>
      <t>千元、資本門</t>
    </r>
    <r>
      <rPr>
        <sz val="14"/>
        <rFont val="Times New Roman"/>
        <family val="1"/>
      </rPr>
      <t>73</t>
    </r>
    <r>
      <rPr>
        <sz val="14"/>
        <rFont val="標楷體"/>
        <family val="4"/>
        <charset val="136"/>
      </rPr>
      <t>千元</t>
    </r>
    <r>
      <rPr>
        <sz val="14"/>
        <rFont val="Times New Roman"/>
        <family val="1"/>
      </rPr>
      <t>)</t>
    </r>
    <phoneticPr fontId="12" type="noConversion"/>
  </si>
  <si>
    <r>
      <t>1.</t>
    </r>
    <r>
      <rPr>
        <sz val="14"/>
        <rFont val="標楷體"/>
        <family val="4"/>
        <charset val="136"/>
      </rPr>
      <t xml:space="preserve">含講義印製費
</t>
    </r>
    <r>
      <rPr>
        <sz val="14"/>
        <rFont val="Times New Roman"/>
        <family val="1"/>
      </rPr>
      <t>2.106</t>
    </r>
    <r>
      <rPr>
        <sz val="14"/>
        <rFont val="標楷體"/>
        <family val="4"/>
        <charset val="136"/>
      </rPr>
      <t>年度起配合創產學院業務人員移撥，經費隨同移撥，增加經常門</t>
    </r>
    <r>
      <rPr>
        <sz val="14"/>
        <rFont val="Times New Roman"/>
        <family val="1"/>
      </rPr>
      <t>400</t>
    </r>
    <r>
      <rPr>
        <sz val="14"/>
        <rFont val="標楷體"/>
        <family val="4"/>
        <charset val="136"/>
      </rPr>
      <t>千元，資本門</t>
    </r>
    <r>
      <rPr>
        <sz val="14"/>
        <rFont val="Times New Roman"/>
        <family val="1"/>
      </rPr>
      <t>200</t>
    </r>
    <r>
      <rPr>
        <sz val="14"/>
        <rFont val="標楷體"/>
        <family val="4"/>
        <charset val="136"/>
      </rPr>
      <t xml:space="preserve">千元。
3.因107年2月1起通識教育中心改隸教務處，故106年教務處經費包含通識教育中心1,051千元(經常門978千元、資本門73千元)。
</t>
    </r>
    <phoneticPr fontId="12" type="noConversion"/>
  </si>
  <si>
    <t>含講義印製費</t>
    <phoneticPr fontId="12" type="noConversion"/>
  </si>
  <si>
    <t>含講義印製費。</t>
    <phoneticPr fontId="12" type="noConversion"/>
  </si>
  <si>
    <r>
      <t>106</t>
    </r>
    <r>
      <rPr>
        <sz val="14"/>
        <rFont val="標楷體"/>
        <family val="4"/>
        <charset val="136"/>
      </rPr>
      <t>年度原列分配經費增加</t>
    </r>
    <phoneticPr fontId="12" type="noConversion"/>
  </si>
  <si>
    <t>105年度新增專項需求</t>
    <phoneticPr fontId="12" type="noConversion"/>
  </si>
  <si>
    <r>
      <t>(1)107</t>
    </r>
    <r>
      <rPr>
        <sz val="14"/>
        <rFont val="標楷體"/>
        <family val="4"/>
        <charset val="136"/>
      </rPr>
      <t>年度預算分配決議：增加經費</t>
    </r>
    <r>
      <rPr>
        <sz val="14"/>
        <rFont val="Times New Roman"/>
        <family val="1"/>
      </rPr>
      <t>300</t>
    </r>
    <r>
      <rPr>
        <sz val="14"/>
        <rFont val="標楷體"/>
        <family val="4"/>
        <charset val="136"/>
      </rPr>
      <t xml:space="preserve">千元，以後年度俟其執行成效再行討論。
</t>
    </r>
    <r>
      <rPr>
        <sz val="14"/>
        <rFont val="Times New Roman"/>
        <family val="1"/>
      </rPr>
      <t>(2)108</t>
    </r>
    <r>
      <rPr>
        <sz val="14"/>
        <rFont val="標楷體"/>
        <family val="4"/>
        <charset val="136"/>
      </rPr>
      <t xml:space="preserve">年度同意照列，以後年度俟其執行成效再行討論。
</t>
    </r>
    <r>
      <rPr>
        <sz val="14"/>
        <rFont val="Times New Roman"/>
        <family val="1"/>
      </rPr>
      <t/>
    </r>
    <phoneticPr fontId="12" type="noConversion"/>
  </si>
  <si>
    <r>
      <t>(1)107</t>
    </r>
    <r>
      <rPr>
        <sz val="14"/>
        <rFont val="標楷體"/>
        <family val="4"/>
        <charset val="136"/>
      </rPr>
      <t>年度增加</t>
    </r>
    <r>
      <rPr>
        <sz val="14"/>
        <rFont val="Times New Roman"/>
        <family val="1"/>
      </rPr>
      <t>300</t>
    </r>
    <r>
      <rPr>
        <sz val="14"/>
        <rFont val="標楷體"/>
        <family val="4"/>
        <charset val="136"/>
      </rPr>
      <t xml:space="preserve">千元，以後年度俟其執行成效再行討論。
</t>
    </r>
    <r>
      <rPr>
        <sz val="14"/>
        <rFont val="Times New Roman"/>
        <family val="1"/>
      </rPr>
      <t>(2)</t>
    </r>
    <r>
      <rPr>
        <sz val="14"/>
        <rFont val="標楷體"/>
        <family val="4"/>
        <charset val="136"/>
      </rPr>
      <t>由校務基金先行墊付，並視</t>
    </r>
    <r>
      <rPr>
        <sz val="14"/>
        <rFont val="Times New Roman"/>
        <family val="1"/>
      </rPr>
      <t>107</t>
    </r>
    <r>
      <rPr>
        <sz val="14"/>
        <rFont val="標楷體"/>
        <family val="4"/>
        <charset val="136"/>
      </rPr>
      <t>年度教育部核列補助本校高教深耕等計畫經費後，配合轉正由計畫支應。</t>
    </r>
    <phoneticPr fontId="12" type="noConversion"/>
  </si>
  <si>
    <r>
      <t>*</t>
    </r>
    <r>
      <rPr>
        <sz val="14"/>
        <rFont val="標楷體"/>
        <family val="4"/>
        <charset val="136"/>
      </rPr>
      <t>依</t>
    </r>
    <r>
      <rPr>
        <sz val="14"/>
        <rFont val="Times New Roman"/>
        <family val="1"/>
      </rPr>
      <t>106</t>
    </r>
    <r>
      <rPr>
        <sz val="14"/>
        <rFont val="標楷體"/>
        <family val="4"/>
        <charset val="136"/>
      </rPr>
      <t>學年度導師費預估
導師經費以每班每週輔導二小時編列。其中一小時為補助班導師輔導工作之費用</t>
    </r>
    <r>
      <rPr>
        <sz val="14"/>
        <rFont val="Times New Roman"/>
        <family val="1"/>
      </rPr>
      <t xml:space="preserve"> </t>
    </r>
    <r>
      <rPr>
        <sz val="14"/>
        <rFont val="標楷體"/>
        <family val="4"/>
        <charset val="136"/>
      </rPr>
      <t>；另一小時</t>
    </r>
    <r>
      <rPr>
        <sz val="14"/>
        <rFont val="Times New Roman"/>
        <family val="1"/>
      </rPr>
      <t>(</t>
    </r>
    <r>
      <rPr>
        <sz val="14"/>
        <rFont val="標楷體"/>
        <family val="4"/>
        <charset val="136"/>
      </rPr>
      <t>導生活動費</t>
    </r>
    <r>
      <rPr>
        <sz val="14"/>
        <rFont val="Times New Roman"/>
        <family val="1"/>
      </rPr>
      <t>)</t>
    </r>
    <r>
      <rPr>
        <sz val="14"/>
        <rFont val="標楷體"/>
        <family val="4"/>
        <charset val="136"/>
      </rPr>
      <t>為聘任專任輔導老師、導生活動、導師輔導知能研習費及其他相關輔導活動費用。</t>
    </r>
    <phoneticPr fontId="12" type="noConversion"/>
  </si>
  <si>
    <r>
      <rPr>
        <sz val="14"/>
        <rFont val="標楷體"/>
        <family val="4"/>
        <charset val="136"/>
      </rPr>
      <t>設備費為事務組外勤班掃除設備及辦公設備更新等。</t>
    </r>
    <phoneticPr fontId="12" type="noConversion"/>
  </si>
  <si>
    <r>
      <t>1.</t>
    </r>
    <r>
      <rPr>
        <sz val="14"/>
        <rFont val="標楷體"/>
        <family val="4"/>
        <charset val="136"/>
      </rPr>
      <t xml:space="preserve">依預計需求調整各計畫經資門
</t>
    </r>
    <r>
      <rPr>
        <sz val="14"/>
        <rFont val="Times New Roman"/>
        <family val="1"/>
      </rPr>
      <t>2.106</t>
    </r>
    <r>
      <rPr>
        <sz val="14"/>
        <rFont val="標楷體"/>
        <family val="4"/>
        <charset val="136"/>
      </rPr>
      <t>年度原列分配經費增加</t>
    </r>
    <phoneticPr fontId="12" type="noConversion"/>
  </si>
  <si>
    <t>1.依預計需求調整各計畫經資門
2.化學系-電力系統改善工程：決議由總務處-校區環境改善及房舍整修經費項下支應</t>
    <phoneticPr fontId="12" type="noConversion"/>
  </si>
  <si>
    <r>
      <rPr>
        <sz val="14"/>
        <rFont val="標楷體"/>
        <family val="4"/>
        <charset val="136"/>
      </rPr>
      <t>考量新空間陸續啟用，</t>
    </r>
    <r>
      <rPr>
        <sz val="14"/>
        <rFont val="Times New Roman"/>
        <family val="1"/>
      </rPr>
      <t>106</t>
    </r>
    <r>
      <rPr>
        <sz val="14"/>
        <rFont val="標楷體"/>
        <family val="4"/>
        <charset val="136"/>
      </rPr>
      <t>年度水電費預算編列較</t>
    </r>
    <r>
      <rPr>
        <sz val="14"/>
        <rFont val="Times New Roman"/>
        <family val="1"/>
      </rPr>
      <t>105</t>
    </r>
    <r>
      <rPr>
        <sz val="14"/>
        <rFont val="標楷體"/>
        <family val="4"/>
        <charset val="136"/>
      </rPr>
      <t>年度增加</t>
    </r>
    <r>
      <rPr>
        <sz val="14"/>
        <rFont val="Times New Roman"/>
        <family val="1"/>
      </rPr>
      <t>4,042</t>
    </r>
    <r>
      <rPr>
        <sz val="14"/>
        <rFont val="標楷體"/>
        <family val="4"/>
        <charset val="136"/>
      </rPr>
      <t>千元</t>
    </r>
    <phoneticPr fontId="12" type="noConversion"/>
  </si>
  <si>
    <t>考量新空間陸續啟用，105年度水電費預算編列較104年度增加2,647千元</t>
    <phoneticPr fontId="12" type="noConversion"/>
  </si>
  <si>
    <t>分配總務處校區建物扣64千元到藝術中心(供藝術中心年度保全月租金及電子服務費使用)</t>
    <phoneticPr fontId="12" type="noConversion"/>
  </si>
  <si>
    <r>
      <t>1.</t>
    </r>
    <r>
      <rPr>
        <sz val="14"/>
        <rFont val="標楷體"/>
        <family val="4"/>
        <charset val="136"/>
      </rPr>
      <t>台中市政府同意接納處理學校汙水，預計</t>
    </r>
    <r>
      <rPr>
        <sz val="14"/>
        <rFont val="Times New Roman"/>
        <family val="1"/>
      </rPr>
      <t>107</t>
    </r>
    <r>
      <rPr>
        <sz val="14"/>
        <rFont val="標楷體"/>
        <family val="4"/>
        <charset val="136"/>
      </rPr>
      <t>年進行本校南側及周邊汙水下水道工程，請本校配合辦理雨水及汙水分流改管，並將校區汙水集中接至鄰近公共汙水下水道人孔。經</t>
    </r>
    <r>
      <rPr>
        <sz val="14"/>
        <rFont val="Times New Roman"/>
        <family val="1"/>
      </rPr>
      <t>106</t>
    </r>
    <r>
      <rPr>
        <sz val="14"/>
        <rFont val="標楷體"/>
        <family val="4"/>
        <charset val="136"/>
      </rPr>
      <t>學年度第二次校務基金管理委員會通過編列經費</t>
    </r>
    <r>
      <rPr>
        <sz val="14"/>
        <rFont val="Times New Roman"/>
        <family val="1"/>
      </rPr>
      <t>3,800</t>
    </r>
    <r>
      <rPr>
        <sz val="14"/>
        <rFont val="標楷體"/>
        <family val="4"/>
        <charset val="136"/>
      </rPr>
      <t xml:space="preserve">萬元。
</t>
    </r>
    <r>
      <rPr>
        <sz val="14"/>
        <rFont val="Times New Roman"/>
        <family val="1"/>
      </rPr>
      <t>2.</t>
    </r>
    <r>
      <rPr>
        <sz val="14"/>
        <rFont val="標楷體"/>
        <family val="4"/>
        <charset val="136"/>
      </rPr>
      <t>分年經費需求：</t>
    </r>
    <r>
      <rPr>
        <sz val="14"/>
        <rFont val="Times New Roman"/>
        <family val="1"/>
      </rPr>
      <t>108</t>
    </r>
    <r>
      <rPr>
        <sz val="14"/>
        <rFont val="標楷體"/>
        <family val="4"/>
        <charset val="136"/>
      </rPr>
      <t>年</t>
    </r>
    <r>
      <rPr>
        <sz val="14"/>
        <rFont val="Times New Roman"/>
        <family val="1"/>
      </rPr>
      <t>1,900</t>
    </r>
    <r>
      <rPr>
        <sz val="14"/>
        <rFont val="標楷體"/>
        <family val="4"/>
        <charset val="136"/>
      </rPr>
      <t>萬元、</t>
    </r>
    <r>
      <rPr>
        <sz val="14"/>
        <rFont val="Times New Roman"/>
        <family val="1"/>
      </rPr>
      <t>109</t>
    </r>
    <r>
      <rPr>
        <sz val="14"/>
        <rFont val="標楷體"/>
        <family val="4"/>
        <charset val="136"/>
      </rPr>
      <t>年度</t>
    </r>
    <r>
      <rPr>
        <sz val="14"/>
        <rFont val="Times New Roman"/>
        <family val="1"/>
      </rPr>
      <t>1,900</t>
    </r>
    <r>
      <rPr>
        <sz val="14"/>
        <rFont val="標楷體"/>
        <family val="4"/>
        <charset val="136"/>
      </rPr>
      <t>萬元。</t>
    </r>
    <phoneticPr fontId="12" type="noConversion"/>
  </si>
  <si>
    <r>
      <t>設備費流用</t>
    </r>
    <r>
      <rPr>
        <sz val="12"/>
        <color theme="1"/>
        <rFont val="新細明體"/>
        <family val="2"/>
        <charset val="136"/>
        <scheme val="minor"/>
      </rPr>
      <t>2/3(1,259千元)至補助新進教師籌建教學與研究設施</t>
    </r>
    <phoneticPr fontId="12" type="noConversion"/>
  </si>
  <si>
    <r>
      <t>107</t>
    </r>
    <r>
      <rPr>
        <sz val="14"/>
        <color theme="0"/>
        <rFont val="標楷體"/>
        <family val="4"/>
        <charset val="136"/>
      </rPr>
      <t>年研發處執行政府計畫配合款移撥</t>
    </r>
    <r>
      <rPr>
        <sz val="14"/>
        <color theme="0"/>
        <rFont val="Times New Roman"/>
        <family val="1"/>
      </rPr>
      <t>1,700</t>
    </r>
    <r>
      <rPr>
        <sz val="14"/>
        <color theme="0"/>
        <rFont val="標楷體"/>
        <family val="4"/>
        <charset val="136"/>
      </rPr>
      <t>千元至圖書館電子期刊及電子資料庫。</t>
    </r>
    <phoneticPr fontId="12" type="noConversion"/>
  </si>
  <si>
    <r>
      <rPr>
        <sz val="14"/>
        <rFont val="標楷體"/>
        <family val="4"/>
        <charset val="136"/>
      </rPr>
      <t>研發處執行政府計畫配合款移撥</t>
    </r>
    <r>
      <rPr>
        <sz val="14"/>
        <rFont val="Times New Roman"/>
        <family val="1"/>
      </rPr>
      <t>1,700</t>
    </r>
    <r>
      <rPr>
        <sz val="14"/>
        <rFont val="標楷體"/>
        <family val="4"/>
        <charset val="136"/>
      </rPr>
      <t>千元至圖書館電子期刊及電子資料庫。</t>
    </r>
    <phoneticPr fontId="12" type="noConversion"/>
  </si>
  <si>
    <t>依預計需求調整各計畫經資門</t>
    <phoneticPr fontId="12" type="noConversion"/>
  </si>
  <si>
    <r>
      <t>107</t>
    </r>
    <r>
      <rPr>
        <sz val="14"/>
        <rFont val="標楷體"/>
        <family val="4"/>
        <charset val="136"/>
      </rPr>
      <t>年度起增列</t>
    </r>
    <r>
      <rPr>
        <sz val="14"/>
        <rFont val="Times New Roman"/>
        <family val="1"/>
      </rPr>
      <t>3,000</t>
    </r>
    <r>
      <rPr>
        <sz val="14"/>
        <rFont val="標楷體"/>
        <family val="4"/>
        <charset val="136"/>
      </rPr>
      <t>千元由校務基金先行墊付，視</t>
    </r>
    <r>
      <rPr>
        <sz val="14"/>
        <rFont val="Times New Roman"/>
        <family val="1"/>
      </rPr>
      <t>107</t>
    </r>
    <r>
      <rPr>
        <sz val="14"/>
        <rFont val="標楷體"/>
        <family val="4"/>
        <charset val="136"/>
      </rPr>
      <t>年度教育部核列補助本校高教深耕等計畫經費後，配合轉正由計畫支應。</t>
    </r>
    <phoneticPr fontId="12" type="noConversion"/>
  </si>
  <si>
    <r>
      <t>103</t>
    </r>
    <r>
      <rPr>
        <sz val="12"/>
        <color theme="1"/>
        <rFont val="新細明體"/>
        <family val="2"/>
        <charset val="136"/>
        <scheme val="minor"/>
      </rPr>
      <t>新增項目，由研發處設備費預算流用2/3支應。</t>
    </r>
    <phoneticPr fontId="12" type="noConversion"/>
  </si>
  <si>
    <r>
      <rPr>
        <sz val="14"/>
        <rFont val="標楷體"/>
        <family val="4"/>
        <charset val="136"/>
      </rPr>
      <t>因教育部高等教育深耕計畫階段各項創新規劃所需，</t>
    </r>
    <r>
      <rPr>
        <sz val="14"/>
        <rFont val="Times New Roman"/>
        <family val="1"/>
      </rPr>
      <t>108</t>
    </r>
    <r>
      <rPr>
        <sz val="14"/>
        <rFont val="標楷體"/>
        <family val="4"/>
        <charset val="136"/>
      </rPr>
      <t>年度起增列經費</t>
    </r>
    <r>
      <rPr>
        <sz val="14"/>
        <rFont val="Times New Roman"/>
        <family val="1"/>
      </rPr>
      <t>175</t>
    </r>
    <r>
      <rPr>
        <sz val="14"/>
        <rFont val="標楷體"/>
        <family val="4"/>
        <charset val="136"/>
      </rPr>
      <t>千元。</t>
    </r>
    <phoneticPr fontId="12" type="noConversion"/>
  </si>
  <si>
    <r>
      <t>107</t>
    </r>
    <r>
      <rPr>
        <sz val="14"/>
        <rFont val="標楷體"/>
        <family val="4"/>
        <charset val="136"/>
      </rPr>
      <t>年度起增列經費</t>
    </r>
    <r>
      <rPr>
        <sz val="14"/>
        <rFont val="Times New Roman"/>
        <family val="1"/>
      </rPr>
      <t>581</t>
    </r>
    <r>
      <rPr>
        <sz val="14"/>
        <rFont val="標楷體"/>
        <family val="4"/>
        <charset val="136"/>
      </rPr>
      <t>千元由校務基金先行墊付，視</t>
    </r>
    <r>
      <rPr>
        <sz val="14"/>
        <rFont val="Times New Roman"/>
        <family val="1"/>
      </rPr>
      <t>107</t>
    </r>
    <r>
      <rPr>
        <sz val="14"/>
        <rFont val="標楷體"/>
        <family val="4"/>
        <charset val="136"/>
      </rPr>
      <t>年度教育部核列補助本校高教深耕等計畫經費後，配合轉正由計畫支應。</t>
    </r>
    <phoneticPr fontId="12" type="noConversion"/>
  </si>
  <si>
    <r>
      <t>106</t>
    </r>
    <r>
      <rPr>
        <sz val="14"/>
        <color theme="1"/>
        <rFont val="標楷體"/>
        <family val="4"/>
        <charset val="136"/>
      </rPr>
      <t>年度原列分配經費增加</t>
    </r>
  </si>
  <si>
    <t>原列經費增列500千元</t>
    <phoneticPr fontId="12" type="noConversion"/>
  </si>
  <si>
    <r>
      <t>106</t>
    </r>
    <r>
      <rPr>
        <sz val="14"/>
        <rFont val="標楷體"/>
        <family val="4"/>
        <charset val="136"/>
      </rPr>
      <t>年度起配合業務人員移撥至教務處，經費隨同移撥，經常門</t>
    </r>
    <r>
      <rPr>
        <sz val="14"/>
        <rFont val="Times New Roman"/>
        <family val="1"/>
      </rPr>
      <t>400</t>
    </r>
    <r>
      <rPr>
        <sz val="14"/>
        <rFont val="標楷體"/>
        <family val="4"/>
        <charset val="136"/>
      </rPr>
      <t>千元，資本門</t>
    </r>
    <r>
      <rPr>
        <sz val="14"/>
        <rFont val="Times New Roman"/>
        <family val="1"/>
      </rPr>
      <t>200</t>
    </r>
    <r>
      <rPr>
        <sz val="14"/>
        <rFont val="標楷體"/>
        <family val="4"/>
        <charset val="136"/>
      </rPr>
      <t>千元</t>
    </r>
    <phoneticPr fontId="12" type="noConversion"/>
  </si>
  <si>
    <r>
      <t>1.</t>
    </r>
    <r>
      <rPr>
        <sz val="12"/>
        <color theme="1"/>
        <rFont val="新細明體"/>
        <family val="2"/>
        <charset val="136"/>
        <scheme val="minor"/>
      </rPr>
      <t xml:space="preserve">進修學士班經費分配於各學院。
2.文化創意產業學士學位學程及創新產業經營學程按實際學生人數分配143千元(經常門60千元、資本門83千元)，較102年度增加73千元。
</t>
    </r>
    <r>
      <rPr>
        <sz val="12"/>
        <rFont val="Times New Roman"/>
        <family val="1"/>
      </rPr>
      <t/>
    </r>
    <phoneticPr fontId="12" type="noConversion"/>
  </si>
  <si>
    <r>
      <rPr>
        <sz val="14"/>
        <rFont val="標楷體"/>
        <family val="4"/>
        <charset val="136"/>
      </rPr>
      <t>1.全球事務研究跨洲碩士學位學程由法政學院移至創產國際學院。</t>
    </r>
    <r>
      <rPr>
        <sz val="14"/>
        <rFont val="Times New Roman"/>
        <family val="1"/>
      </rPr>
      <t xml:space="preserve">
2.105</t>
    </r>
    <r>
      <rPr>
        <sz val="14"/>
        <rFont val="標楷體"/>
        <family val="4"/>
        <charset val="136"/>
      </rPr>
      <t>至</t>
    </r>
    <r>
      <rPr>
        <sz val="14"/>
        <rFont val="Times New Roman"/>
        <family val="1"/>
      </rPr>
      <t>107</t>
    </r>
    <r>
      <rPr>
        <sz val="14"/>
        <rFont val="標楷體"/>
        <family val="4"/>
        <charset val="136"/>
      </rPr>
      <t>學年度第</t>
    </r>
    <r>
      <rPr>
        <sz val="14"/>
        <rFont val="Times New Roman"/>
        <family val="1"/>
      </rPr>
      <t>1</t>
    </r>
    <r>
      <rPr>
        <sz val="14"/>
        <rFont val="標楷體"/>
        <family val="4"/>
        <charset val="136"/>
      </rPr>
      <t>學期平均學生人數</t>
    </r>
    <r>
      <rPr>
        <sz val="14"/>
        <rFont val="Times New Roman"/>
        <family val="1"/>
      </rPr>
      <t>34</t>
    </r>
    <r>
      <rPr>
        <sz val="14"/>
        <rFont val="標楷體"/>
        <family val="4"/>
        <charset val="136"/>
      </rPr>
      <t>人。</t>
    </r>
    <phoneticPr fontId="12" type="noConversion"/>
  </si>
  <si>
    <r>
      <t>108</t>
    </r>
    <r>
      <rPr>
        <sz val="14"/>
        <rFont val="標楷體"/>
        <family val="4"/>
        <charset val="136"/>
      </rPr>
      <t>年度增列經費</t>
    </r>
    <r>
      <rPr>
        <sz val="14"/>
        <rFont val="Times New Roman"/>
        <family val="1"/>
      </rPr>
      <t>2,255</t>
    </r>
    <r>
      <rPr>
        <sz val="14"/>
        <rFont val="標楷體"/>
        <family val="4"/>
        <charset val="136"/>
      </rPr>
      <t>千元，惟嗣後若屬一次性需求方可由學校支應，另有關人力之經費增加，可考量由學雜費調增之收入支應。</t>
    </r>
    <phoneticPr fontId="12" type="noConversion"/>
  </si>
  <si>
    <r>
      <t>107</t>
    </r>
    <r>
      <rPr>
        <sz val="14"/>
        <rFont val="標楷體"/>
        <family val="4"/>
        <charset val="136"/>
      </rPr>
      <t>年度增列經費</t>
    </r>
    <r>
      <rPr>
        <sz val="14"/>
        <rFont val="Times New Roman"/>
        <family val="1"/>
      </rPr>
      <t>1,398</t>
    </r>
    <r>
      <rPr>
        <sz val="14"/>
        <rFont val="標楷體"/>
        <family val="4"/>
        <charset val="136"/>
      </rPr>
      <t>千元由校務基金先行墊付，視</t>
    </r>
    <r>
      <rPr>
        <sz val="14"/>
        <rFont val="Times New Roman"/>
        <family val="1"/>
      </rPr>
      <t>107</t>
    </r>
    <r>
      <rPr>
        <sz val="14"/>
        <rFont val="標楷體"/>
        <family val="4"/>
        <charset val="136"/>
      </rPr>
      <t>年度教育部核列補助本校高教深耕等計畫經費後，配合轉正由計畫支應。</t>
    </r>
    <phoneticPr fontId="12" type="noConversion"/>
  </si>
  <si>
    <t>原列經費增列2,000千元(行政單位控留款增加189千元)</t>
    <phoneticPr fontId="12" type="noConversion"/>
  </si>
  <si>
    <r>
      <t>*</t>
    </r>
    <r>
      <rPr>
        <sz val="14"/>
        <rFont val="標楷體"/>
        <family val="4"/>
        <charset val="136"/>
      </rPr>
      <t>農資院新增食品安全研究所</t>
    </r>
    <r>
      <rPr>
        <sz val="14"/>
        <rFont val="Times New Roman"/>
        <family val="1"/>
      </rPr>
      <t>(</t>
    </r>
    <r>
      <rPr>
        <sz val="14"/>
        <rFont val="標楷體"/>
        <family val="4"/>
        <charset val="136"/>
      </rPr>
      <t>碩士班</t>
    </r>
    <r>
      <rPr>
        <sz val="14"/>
        <rFont val="Times New Roman"/>
        <family val="1"/>
      </rPr>
      <t>)</t>
    </r>
    <r>
      <rPr>
        <sz val="14"/>
        <rFont val="標楷體"/>
        <family val="4"/>
        <charset val="136"/>
      </rPr>
      <t>增加</t>
    </r>
    <r>
      <rPr>
        <sz val="14"/>
        <rFont val="Times New Roman"/>
        <family val="1"/>
      </rPr>
      <t>5</t>
    </r>
    <r>
      <rPr>
        <sz val="14"/>
        <rFont val="標楷體"/>
        <family val="4"/>
        <charset val="136"/>
      </rPr>
      <t>萬。
依</t>
    </r>
    <r>
      <rPr>
        <sz val="14"/>
        <rFont val="Times New Roman"/>
        <family val="1"/>
      </rPr>
      <t>95.10.25</t>
    </r>
    <r>
      <rPr>
        <sz val="14"/>
        <rFont val="標楷體"/>
        <family val="4"/>
        <charset val="136"/>
      </rPr>
      <t>本校第</t>
    </r>
    <r>
      <rPr>
        <sz val="14"/>
        <rFont val="Times New Roman"/>
        <family val="1"/>
      </rPr>
      <t>323</t>
    </r>
    <r>
      <rPr>
        <sz val="14"/>
        <rFont val="標楷體"/>
        <family val="4"/>
        <charset val="136"/>
      </rPr>
      <t>次行政會議第六案決議：請主計室在經費分配項目分別列出圖書費及儀器費，各系每年圖書費至少</t>
    </r>
    <r>
      <rPr>
        <sz val="14"/>
        <rFont val="Times New Roman"/>
        <family val="1"/>
      </rPr>
      <t>10</t>
    </r>
    <r>
      <rPr>
        <sz val="14"/>
        <rFont val="標楷體"/>
        <family val="4"/>
        <charset val="136"/>
      </rPr>
      <t>萬，各所每年圖書費至少</t>
    </r>
    <r>
      <rPr>
        <sz val="14"/>
        <rFont val="Times New Roman"/>
        <family val="1"/>
      </rPr>
      <t>5</t>
    </r>
    <r>
      <rPr>
        <sz val="14"/>
        <rFont val="標楷體"/>
        <family val="4"/>
        <charset val="136"/>
      </rPr>
      <t>萬，圖書費可流入不得流出。文學院</t>
    </r>
    <r>
      <rPr>
        <sz val="14"/>
        <rFont val="Times New Roman"/>
        <family val="1"/>
      </rPr>
      <t>3</t>
    </r>
    <r>
      <rPr>
        <sz val="14"/>
        <rFont val="標楷體"/>
        <family val="4"/>
        <charset val="136"/>
      </rPr>
      <t>系</t>
    </r>
    <r>
      <rPr>
        <sz val="14"/>
        <rFont val="Times New Roman"/>
        <family val="1"/>
      </rPr>
      <t>2</t>
    </r>
    <r>
      <rPr>
        <sz val="14"/>
        <rFont val="標楷體"/>
        <family val="4"/>
        <charset val="136"/>
      </rPr>
      <t>所提列</t>
    </r>
    <r>
      <rPr>
        <sz val="14"/>
        <rFont val="Times New Roman"/>
        <family val="1"/>
      </rPr>
      <t>40</t>
    </r>
    <r>
      <rPr>
        <sz val="14"/>
        <rFont val="標楷體"/>
        <family val="4"/>
        <charset val="136"/>
      </rPr>
      <t>萬、農資院</t>
    </r>
    <r>
      <rPr>
        <sz val="14"/>
        <rFont val="Times New Roman"/>
        <family val="1"/>
      </rPr>
      <t>11</t>
    </r>
    <r>
      <rPr>
        <sz val="14"/>
        <rFont val="標楷體"/>
        <family val="4"/>
        <charset val="136"/>
      </rPr>
      <t>系</t>
    </r>
    <r>
      <rPr>
        <sz val="14"/>
        <rFont val="Times New Roman"/>
        <family val="1"/>
      </rPr>
      <t>3</t>
    </r>
    <r>
      <rPr>
        <sz val="14"/>
        <rFont val="標楷體"/>
        <family val="4"/>
        <charset val="136"/>
      </rPr>
      <t>所</t>
    </r>
    <r>
      <rPr>
        <sz val="14"/>
        <rFont val="Times New Roman"/>
        <family val="1"/>
      </rPr>
      <t>125</t>
    </r>
    <r>
      <rPr>
        <sz val="14"/>
        <rFont val="標楷體"/>
        <family val="4"/>
        <charset val="136"/>
      </rPr>
      <t>萬、理學院</t>
    </r>
    <r>
      <rPr>
        <sz val="14"/>
        <rFont val="Times New Roman"/>
        <family val="1"/>
      </rPr>
      <t>4</t>
    </r>
    <r>
      <rPr>
        <sz val="14"/>
        <rFont val="標楷體"/>
        <family val="4"/>
        <charset val="136"/>
      </rPr>
      <t>系</t>
    </r>
    <r>
      <rPr>
        <sz val="14"/>
        <rFont val="Times New Roman"/>
        <family val="1"/>
      </rPr>
      <t>2</t>
    </r>
    <r>
      <rPr>
        <sz val="14"/>
        <rFont val="標楷體"/>
        <family val="4"/>
        <charset val="136"/>
      </rPr>
      <t>所</t>
    </r>
    <r>
      <rPr>
        <sz val="14"/>
        <rFont val="Times New Roman"/>
        <family val="1"/>
      </rPr>
      <t>50</t>
    </r>
    <r>
      <rPr>
        <sz val="14"/>
        <rFont val="標楷體"/>
        <family val="4"/>
        <charset val="136"/>
      </rPr>
      <t>萬、工學院</t>
    </r>
    <r>
      <rPr>
        <sz val="14"/>
        <rFont val="Times New Roman"/>
        <family val="1"/>
      </rPr>
      <t>6</t>
    </r>
    <r>
      <rPr>
        <sz val="14"/>
        <rFont val="標楷體"/>
        <family val="4"/>
        <charset val="136"/>
      </rPr>
      <t>系</t>
    </r>
    <r>
      <rPr>
        <sz val="14"/>
        <rFont val="Times New Roman"/>
        <family val="1"/>
      </rPr>
      <t>2</t>
    </r>
    <r>
      <rPr>
        <sz val="14"/>
        <rFont val="標楷體"/>
        <family val="4"/>
        <charset val="136"/>
      </rPr>
      <t>所</t>
    </r>
    <r>
      <rPr>
        <sz val="14"/>
        <rFont val="Times New Roman"/>
        <family val="1"/>
      </rPr>
      <t>70</t>
    </r>
    <r>
      <rPr>
        <sz val="14"/>
        <rFont val="標楷體"/>
        <family val="4"/>
        <charset val="136"/>
      </rPr>
      <t>萬、生科院</t>
    </r>
    <r>
      <rPr>
        <sz val="14"/>
        <rFont val="Times New Roman"/>
        <family val="1"/>
      </rPr>
      <t>1</t>
    </r>
    <r>
      <rPr>
        <sz val="14"/>
        <rFont val="標楷體"/>
        <family val="4"/>
        <charset val="136"/>
      </rPr>
      <t>系</t>
    </r>
    <r>
      <rPr>
        <sz val="14"/>
        <rFont val="Times New Roman"/>
        <family val="1"/>
      </rPr>
      <t>4</t>
    </r>
    <r>
      <rPr>
        <sz val="14"/>
        <rFont val="標楷體"/>
        <family val="4"/>
        <charset val="136"/>
      </rPr>
      <t>所</t>
    </r>
    <r>
      <rPr>
        <sz val="14"/>
        <rFont val="Times New Roman"/>
        <family val="1"/>
      </rPr>
      <t>30</t>
    </r>
    <r>
      <rPr>
        <sz val="14"/>
        <rFont val="標楷體"/>
        <family val="4"/>
        <charset val="136"/>
      </rPr>
      <t>萬、獸醫學院</t>
    </r>
    <r>
      <rPr>
        <sz val="14"/>
        <rFont val="Times New Roman"/>
        <family val="1"/>
      </rPr>
      <t>1</t>
    </r>
    <r>
      <rPr>
        <sz val="14"/>
        <rFont val="標楷體"/>
        <family val="4"/>
        <charset val="136"/>
      </rPr>
      <t>系</t>
    </r>
    <r>
      <rPr>
        <sz val="14"/>
        <rFont val="Times New Roman"/>
        <family val="1"/>
      </rPr>
      <t>2</t>
    </r>
    <r>
      <rPr>
        <sz val="14"/>
        <rFont val="標楷體"/>
        <family val="4"/>
        <charset val="136"/>
      </rPr>
      <t>所</t>
    </r>
    <r>
      <rPr>
        <sz val="14"/>
        <rFont val="Times New Roman"/>
        <family val="1"/>
      </rPr>
      <t>20</t>
    </r>
    <r>
      <rPr>
        <sz val="14"/>
        <rFont val="標楷體"/>
        <family val="4"/>
        <charset val="136"/>
      </rPr>
      <t>萬、管理學院</t>
    </r>
    <r>
      <rPr>
        <sz val="14"/>
        <rFont val="Times New Roman"/>
        <family val="1"/>
      </rPr>
      <t>5</t>
    </r>
    <r>
      <rPr>
        <sz val="14"/>
        <rFont val="標楷體"/>
        <family val="4"/>
        <charset val="136"/>
      </rPr>
      <t>系</t>
    </r>
    <r>
      <rPr>
        <sz val="14"/>
        <rFont val="Times New Roman"/>
        <family val="1"/>
      </rPr>
      <t>2</t>
    </r>
    <r>
      <rPr>
        <sz val="14"/>
        <rFont val="標楷體"/>
        <family val="4"/>
        <charset val="136"/>
      </rPr>
      <t>所</t>
    </r>
    <r>
      <rPr>
        <sz val="14"/>
        <rFont val="Times New Roman"/>
        <family val="1"/>
      </rPr>
      <t>60</t>
    </r>
    <r>
      <rPr>
        <sz val="14"/>
        <rFont val="標楷體"/>
        <family val="4"/>
        <charset val="136"/>
      </rPr>
      <t>萬、法政學院</t>
    </r>
    <r>
      <rPr>
        <sz val="14"/>
        <rFont val="Times New Roman"/>
        <family val="1"/>
      </rPr>
      <t>1</t>
    </r>
    <r>
      <rPr>
        <sz val="14"/>
        <rFont val="標楷體"/>
        <family val="4"/>
        <charset val="136"/>
      </rPr>
      <t>系</t>
    </r>
    <r>
      <rPr>
        <sz val="14"/>
        <rFont val="Times New Roman"/>
        <family val="1"/>
      </rPr>
      <t>3</t>
    </r>
    <r>
      <rPr>
        <sz val="14"/>
        <rFont val="標楷體"/>
        <family val="4"/>
        <charset val="136"/>
      </rPr>
      <t>所</t>
    </r>
    <r>
      <rPr>
        <sz val="14"/>
        <rFont val="Times New Roman"/>
        <family val="1"/>
      </rPr>
      <t>25</t>
    </r>
    <r>
      <rPr>
        <sz val="14"/>
        <rFont val="標楷體"/>
        <family val="4"/>
        <charset val="136"/>
      </rPr>
      <t>萬。</t>
    </r>
    <phoneticPr fontId="12" type="noConversion"/>
  </si>
  <si>
    <r>
      <rPr>
        <sz val="12"/>
        <rFont val="標楷體"/>
        <family val="4"/>
        <charset val="136"/>
      </rPr>
      <t>依</t>
    </r>
    <r>
      <rPr>
        <sz val="12"/>
        <rFont val="Times New Roman"/>
        <family val="1"/>
      </rPr>
      <t>95.10.25</t>
    </r>
    <r>
      <rPr>
        <sz val="12"/>
        <rFont val="標楷體"/>
        <family val="4"/>
        <charset val="136"/>
      </rPr>
      <t>本校第</t>
    </r>
    <r>
      <rPr>
        <sz val="12"/>
        <rFont val="Times New Roman"/>
        <family val="1"/>
      </rPr>
      <t>323</t>
    </r>
    <r>
      <rPr>
        <sz val="12"/>
        <rFont val="標楷體"/>
        <family val="4"/>
        <charset val="136"/>
      </rPr>
      <t>次行政會議第六案決議：請主計室在經費分配項目分別列出圖書費及儀器費，各系每年圖書費至少</t>
    </r>
    <r>
      <rPr>
        <sz val="12"/>
        <rFont val="Times New Roman"/>
        <family val="1"/>
      </rPr>
      <t>10</t>
    </r>
    <r>
      <rPr>
        <sz val="12"/>
        <rFont val="標楷體"/>
        <family val="4"/>
        <charset val="136"/>
      </rPr>
      <t>萬，各所每年圖書費至少</t>
    </r>
    <r>
      <rPr>
        <sz val="12"/>
        <rFont val="Times New Roman"/>
        <family val="1"/>
      </rPr>
      <t>5</t>
    </r>
    <r>
      <rPr>
        <sz val="12"/>
        <rFont val="標楷體"/>
        <family val="4"/>
        <charset val="136"/>
      </rPr>
      <t>萬，圖書費可流入不得流出。文學院</t>
    </r>
    <r>
      <rPr>
        <sz val="12"/>
        <rFont val="Times New Roman"/>
        <family val="1"/>
      </rPr>
      <t>3</t>
    </r>
    <r>
      <rPr>
        <sz val="12"/>
        <rFont val="標楷體"/>
        <family val="4"/>
        <charset val="136"/>
      </rPr>
      <t>系</t>
    </r>
    <r>
      <rPr>
        <sz val="12"/>
        <rFont val="Times New Roman"/>
        <family val="1"/>
      </rPr>
      <t>2</t>
    </r>
    <r>
      <rPr>
        <sz val="12"/>
        <rFont val="標楷體"/>
        <family val="4"/>
        <charset val="136"/>
      </rPr>
      <t>所提列</t>
    </r>
    <r>
      <rPr>
        <sz val="12"/>
        <rFont val="Times New Roman"/>
        <family val="1"/>
      </rPr>
      <t>40</t>
    </r>
    <r>
      <rPr>
        <sz val="12"/>
        <rFont val="標楷體"/>
        <family val="4"/>
        <charset val="136"/>
      </rPr>
      <t>萬、農資院</t>
    </r>
    <r>
      <rPr>
        <sz val="12"/>
        <rFont val="Times New Roman"/>
        <family val="1"/>
      </rPr>
      <t>11</t>
    </r>
    <r>
      <rPr>
        <sz val="12"/>
        <rFont val="標楷體"/>
        <family val="4"/>
        <charset val="136"/>
      </rPr>
      <t>系</t>
    </r>
    <r>
      <rPr>
        <sz val="12"/>
        <rFont val="Times New Roman"/>
        <family val="1"/>
      </rPr>
      <t>2</t>
    </r>
    <r>
      <rPr>
        <sz val="12"/>
        <rFont val="標楷體"/>
        <family val="4"/>
        <charset val="136"/>
      </rPr>
      <t>所</t>
    </r>
    <r>
      <rPr>
        <sz val="12"/>
        <rFont val="Times New Roman"/>
        <family val="1"/>
      </rPr>
      <t>120</t>
    </r>
    <r>
      <rPr>
        <sz val="12"/>
        <rFont val="標楷體"/>
        <family val="4"/>
        <charset val="136"/>
      </rPr>
      <t>萬、理學院</t>
    </r>
    <r>
      <rPr>
        <sz val="12"/>
        <rFont val="Times New Roman"/>
        <family val="1"/>
      </rPr>
      <t>4</t>
    </r>
    <r>
      <rPr>
        <sz val="12"/>
        <rFont val="標楷體"/>
        <family val="4"/>
        <charset val="136"/>
      </rPr>
      <t>系</t>
    </r>
    <r>
      <rPr>
        <sz val="12"/>
        <rFont val="Times New Roman"/>
        <family val="1"/>
      </rPr>
      <t>2</t>
    </r>
    <r>
      <rPr>
        <sz val="12"/>
        <rFont val="標楷體"/>
        <family val="4"/>
        <charset val="136"/>
      </rPr>
      <t>所</t>
    </r>
    <r>
      <rPr>
        <sz val="12"/>
        <rFont val="Times New Roman"/>
        <family val="1"/>
      </rPr>
      <t>50</t>
    </r>
    <r>
      <rPr>
        <sz val="12"/>
        <rFont val="標楷體"/>
        <family val="4"/>
        <charset val="136"/>
      </rPr>
      <t>萬、工學院</t>
    </r>
    <r>
      <rPr>
        <sz val="12"/>
        <rFont val="Times New Roman"/>
        <family val="1"/>
      </rPr>
      <t>6</t>
    </r>
    <r>
      <rPr>
        <sz val="12"/>
        <rFont val="標楷體"/>
        <family val="4"/>
        <charset val="136"/>
      </rPr>
      <t>系</t>
    </r>
    <r>
      <rPr>
        <sz val="12"/>
        <rFont val="Times New Roman"/>
        <family val="1"/>
      </rPr>
      <t>2</t>
    </r>
    <r>
      <rPr>
        <sz val="12"/>
        <rFont val="標楷體"/>
        <family val="4"/>
        <charset val="136"/>
      </rPr>
      <t>所</t>
    </r>
    <r>
      <rPr>
        <sz val="12"/>
        <rFont val="Times New Roman"/>
        <family val="1"/>
      </rPr>
      <t>70</t>
    </r>
    <r>
      <rPr>
        <sz val="12"/>
        <rFont val="標楷體"/>
        <family val="4"/>
        <charset val="136"/>
      </rPr>
      <t>萬、生科院</t>
    </r>
    <r>
      <rPr>
        <sz val="12"/>
        <rFont val="Times New Roman"/>
        <family val="1"/>
      </rPr>
      <t>1</t>
    </r>
    <r>
      <rPr>
        <sz val="12"/>
        <rFont val="標楷體"/>
        <family val="4"/>
        <charset val="136"/>
      </rPr>
      <t>系</t>
    </r>
    <r>
      <rPr>
        <sz val="12"/>
        <rFont val="Times New Roman"/>
        <family val="1"/>
      </rPr>
      <t>4</t>
    </r>
    <r>
      <rPr>
        <sz val="12"/>
        <rFont val="標楷體"/>
        <family val="4"/>
        <charset val="136"/>
      </rPr>
      <t>所</t>
    </r>
    <r>
      <rPr>
        <sz val="12"/>
        <rFont val="Times New Roman"/>
        <family val="1"/>
      </rPr>
      <t>30</t>
    </r>
    <r>
      <rPr>
        <sz val="12"/>
        <rFont val="標楷體"/>
        <family val="4"/>
        <charset val="136"/>
      </rPr>
      <t>萬、獸醫學院</t>
    </r>
    <r>
      <rPr>
        <sz val="12"/>
        <rFont val="Times New Roman"/>
        <family val="1"/>
      </rPr>
      <t>1</t>
    </r>
    <r>
      <rPr>
        <sz val="12"/>
        <rFont val="標楷體"/>
        <family val="4"/>
        <charset val="136"/>
      </rPr>
      <t>系</t>
    </r>
    <r>
      <rPr>
        <sz val="12"/>
        <rFont val="Times New Roman"/>
        <family val="1"/>
      </rPr>
      <t>2</t>
    </r>
    <r>
      <rPr>
        <sz val="12"/>
        <rFont val="標楷體"/>
        <family val="4"/>
        <charset val="136"/>
      </rPr>
      <t>所</t>
    </r>
    <r>
      <rPr>
        <sz val="12"/>
        <rFont val="Times New Roman"/>
        <family val="1"/>
      </rPr>
      <t>20</t>
    </r>
    <r>
      <rPr>
        <sz val="12"/>
        <rFont val="標楷體"/>
        <family val="4"/>
        <charset val="136"/>
      </rPr>
      <t>萬、管理學院</t>
    </r>
    <r>
      <rPr>
        <sz val="12"/>
        <rFont val="Times New Roman"/>
        <family val="1"/>
      </rPr>
      <t>5</t>
    </r>
    <r>
      <rPr>
        <sz val="12"/>
        <rFont val="標楷體"/>
        <family val="4"/>
        <charset val="136"/>
      </rPr>
      <t>系</t>
    </r>
    <r>
      <rPr>
        <sz val="12"/>
        <rFont val="Times New Roman"/>
        <family val="1"/>
      </rPr>
      <t>2</t>
    </r>
    <r>
      <rPr>
        <sz val="12"/>
        <rFont val="標楷體"/>
        <family val="4"/>
        <charset val="136"/>
      </rPr>
      <t>所</t>
    </r>
    <r>
      <rPr>
        <sz val="12"/>
        <rFont val="Times New Roman"/>
        <family val="1"/>
      </rPr>
      <t>60</t>
    </r>
    <r>
      <rPr>
        <sz val="12"/>
        <rFont val="標楷體"/>
        <family val="4"/>
        <charset val="136"/>
      </rPr>
      <t>萬、法政學院</t>
    </r>
    <r>
      <rPr>
        <sz val="12"/>
        <rFont val="Times New Roman"/>
        <family val="1"/>
      </rPr>
      <t>1</t>
    </r>
    <r>
      <rPr>
        <sz val="12"/>
        <rFont val="標楷體"/>
        <family val="4"/>
        <charset val="136"/>
      </rPr>
      <t>系</t>
    </r>
    <r>
      <rPr>
        <sz val="12"/>
        <rFont val="Times New Roman"/>
        <family val="1"/>
      </rPr>
      <t>3</t>
    </r>
    <r>
      <rPr>
        <sz val="12"/>
        <rFont val="標楷體"/>
        <family val="4"/>
        <charset val="136"/>
      </rPr>
      <t>所</t>
    </r>
    <r>
      <rPr>
        <sz val="12"/>
        <rFont val="Times New Roman"/>
        <family val="1"/>
      </rPr>
      <t>25</t>
    </r>
    <r>
      <rPr>
        <sz val="12"/>
        <rFont val="標楷體"/>
        <family val="4"/>
        <charset val="136"/>
      </rPr>
      <t>萬</t>
    </r>
    <phoneticPr fontId="12" type="noConversion"/>
  </si>
  <si>
    <t>依95.10.25本校第323次行政會議第六案決議：請主計室在經費分配項目分別列出圖書費及儀器費，各系每年圖書費至少10萬，各所每年圖書費至少5萬，圖書費可流入不得流出。文學院3系2所提列40萬、農資院11系2所120萬、理學院4系2所50萬、工學院6系2所70萬、生科院1系4所30萬、獸醫學院1系2所20萬、管理學院5系2所60萬、法政學院1系3所25萬</t>
    <phoneticPr fontId="12" type="noConversion"/>
  </si>
  <si>
    <r>
      <t>2019</t>
    </r>
    <r>
      <rPr>
        <sz val="14"/>
        <rFont val="標楷體"/>
        <family val="4"/>
        <charset val="136"/>
      </rPr>
      <t>年期刊及加購套裝資料庫決議購置</t>
    </r>
    <r>
      <rPr>
        <sz val="14"/>
        <rFont val="Times New Roman"/>
        <family val="1"/>
      </rPr>
      <t>14</t>
    </r>
    <r>
      <rPr>
        <sz val="14"/>
        <rFont val="標楷體"/>
        <family val="4"/>
        <charset val="136"/>
      </rPr>
      <t>種資料庫預估共需經費</t>
    </r>
    <r>
      <rPr>
        <sz val="14"/>
        <rFont val="Times New Roman"/>
        <family val="1"/>
      </rPr>
      <t>5,880</t>
    </r>
    <r>
      <rPr>
        <sz val="14"/>
        <rFont val="標楷體"/>
        <family val="4"/>
        <charset val="136"/>
      </rPr>
      <t>萬元。經費來源經</t>
    </r>
    <r>
      <rPr>
        <sz val="14"/>
        <rFont val="Times New Roman"/>
        <family val="1"/>
      </rPr>
      <t>107</t>
    </r>
    <r>
      <rPr>
        <sz val="14"/>
        <rFont val="標楷體"/>
        <family val="4"/>
        <charset val="136"/>
      </rPr>
      <t>學年度西文核心期刊暨電子資料庫第一次評審會議決議，由校務基金支應</t>
    </r>
    <r>
      <rPr>
        <sz val="14"/>
        <rFont val="Times New Roman"/>
        <family val="1"/>
      </rPr>
      <t>4,442</t>
    </r>
    <r>
      <rPr>
        <sz val="14"/>
        <rFont val="標楷體"/>
        <family val="4"/>
        <charset val="136"/>
      </rPr>
      <t>萬元，另不足經費</t>
    </r>
    <r>
      <rPr>
        <sz val="14"/>
        <rFont val="Times New Roman"/>
        <family val="1"/>
      </rPr>
      <t>1,438</t>
    </r>
    <r>
      <rPr>
        <sz val="14"/>
        <rFont val="標楷體"/>
        <family val="4"/>
        <charset val="136"/>
      </rPr>
      <t>萬元由深耕計畫支應。</t>
    </r>
    <phoneticPr fontId="12" type="noConversion"/>
  </si>
  <si>
    <r>
      <t>2018</t>
    </r>
    <r>
      <rPr>
        <sz val="14"/>
        <rFont val="標楷體"/>
        <family val="4"/>
        <charset val="136"/>
      </rPr>
      <t>年期刊及加購套裝資料庫決議購置</t>
    </r>
    <r>
      <rPr>
        <sz val="14"/>
        <rFont val="Times New Roman"/>
        <family val="1"/>
      </rPr>
      <t>14</t>
    </r>
    <r>
      <rPr>
        <sz val="14"/>
        <rFont val="標楷體"/>
        <family val="4"/>
        <charset val="136"/>
      </rPr>
      <t>種資料庫預估共需經費</t>
    </r>
    <r>
      <rPr>
        <sz val="14"/>
        <rFont val="Times New Roman"/>
        <family val="1"/>
      </rPr>
      <t>5,807</t>
    </r>
    <r>
      <rPr>
        <sz val="14"/>
        <rFont val="標楷體"/>
        <family val="4"/>
        <charset val="136"/>
      </rPr>
      <t>萬元。經費來源經</t>
    </r>
    <r>
      <rPr>
        <sz val="14"/>
        <rFont val="Times New Roman"/>
        <family val="1"/>
      </rPr>
      <t>106</t>
    </r>
    <r>
      <rPr>
        <sz val="14"/>
        <rFont val="標楷體"/>
        <family val="4"/>
        <charset val="136"/>
      </rPr>
      <t>學年度西文核心期刊暨電子資料庫第二次評審會議決議，由校務基金支援</t>
    </r>
    <r>
      <rPr>
        <sz val="14"/>
        <rFont val="Times New Roman"/>
        <family val="1"/>
      </rPr>
      <t>4,442</t>
    </r>
    <r>
      <rPr>
        <sz val="14"/>
        <rFont val="標楷體"/>
        <family val="4"/>
        <charset val="136"/>
      </rPr>
      <t>萬元</t>
    </r>
    <r>
      <rPr>
        <sz val="14"/>
        <color theme="1"/>
        <rFont val="標楷體"/>
        <family val="4"/>
        <charset val="136"/>
      </rPr>
      <t>，另不足經費</t>
    </r>
    <r>
      <rPr>
        <sz val="14"/>
        <color theme="1"/>
        <rFont val="Times New Roman"/>
        <family val="1"/>
      </rPr>
      <t>1,365</t>
    </r>
    <r>
      <rPr>
        <sz val="14"/>
        <color theme="1"/>
        <rFont val="標楷體"/>
        <family val="4"/>
        <charset val="136"/>
      </rPr>
      <t>萬元亦由校務基金先行支應，待深耕計畫核定後再行歸墊。</t>
    </r>
    <phoneticPr fontId="12" type="noConversion"/>
  </si>
  <si>
    <t>原列經費增列4,355千元</t>
    <phoneticPr fontId="12" type="noConversion"/>
  </si>
  <si>
    <r>
      <t>1.</t>
    </r>
    <r>
      <rPr>
        <sz val="14"/>
        <rFont val="標楷體"/>
        <family val="4"/>
        <charset val="136"/>
      </rPr>
      <t>「論文原創性比對系統」使用權即將於</t>
    </r>
    <r>
      <rPr>
        <sz val="14"/>
        <rFont val="Times New Roman"/>
        <family val="1"/>
      </rPr>
      <t>108</t>
    </r>
    <r>
      <rPr>
        <sz val="14"/>
        <rFont val="標楷體"/>
        <family val="4"/>
        <charset val="136"/>
      </rPr>
      <t>年</t>
    </r>
    <r>
      <rPr>
        <sz val="14"/>
        <rFont val="Times New Roman"/>
        <family val="1"/>
      </rPr>
      <t>6</t>
    </r>
    <r>
      <rPr>
        <sz val="14"/>
        <rFont val="標楷體"/>
        <family val="4"/>
        <charset val="136"/>
      </rPr>
      <t>月到期，</t>
    </r>
    <r>
      <rPr>
        <sz val="14"/>
        <rFont val="Times New Roman"/>
        <family val="1"/>
      </rPr>
      <t>T4</t>
    </r>
    <r>
      <rPr>
        <sz val="14"/>
        <rFont val="標楷體"/>
        <family val="4"/>
        <charset val="136"/>
      </rPr>
      <t>於</t>
    </r>
    <r>
      <rPr>
        <sz val="14"/>
        <rFont val="Times New Roman"/>
        <family val="1"/>
      </rPr>
      <t>108</t>
    </r>
    <r>
      <rPr>
        <sz val="14"/>
        <rFont val="標楷體"/>
        <family val="4"/>
        <charset val="136"/>
      </rPr>
      <t>年未能持續補助，為持續提供學術論文原創性比對服務，</t>
    </r>
    <r>
      <rPr>
        <sz val="14"/>
        <rFont val="Times New Roman"/>
        <family val="1"/>
      </rPr>
      <t>108</t>
    </r>
    <r>
      <rPr>
        <sz val="14"/>
        <rFont val="標楷體"/>
        <family val="4"/>
        <charset val="136"/>
      </rPr>
      <t>年起增加經費</t>
    </r>
    <r>
      <rPr>
        <sz val="14"/>
        <rFont val="Times New Roman"/>
        <family val="1"/>
      </rPr>
      <t>737</t>
    </r>
    <r>
      <rPr>
        <sz val="14"/>
        <rFont val="標楷體"/>
        <family val="4"/>
        <charset val="136"/>
      </rPr>
      <t xml:space="preserve">千元。
</t>
    </r>
    <r>
      <rPr>
        <sz val="14"/>
        <rFont val="Times New Roman"/>
        <family val="1"/>
      </rPr>
      <t>2.</t>
    </r>
    <r>
      <rPr>
        <sz val="14"/>
        <rFont val="標楷體"/>
        <family val="4"/>
        <charset val="136"/>
      </rPr>
      <t>惟</t>
    </r>
    <r>
      <rPr>
        <sz val="14"/>
        <rFont val="Times New Roman"/>
        <family val="1"/>
      </rPr>
      <t>T4</t>
    </r>
    <r>
      <rPr>
        <sz val="14"/>
        <rFont val="標楷體"/>
        <family val="4"/>
        <charset val="136"/>
      </rPr>
      <t>若於</t>
    </r>
    <r>
      <rPr>
        <sz val="14"/>
        <rFont val="Times New Roman"/>
        <family val="1"/>
      </rPr>
      <t>108</t>
    </r>
    <r>
      <rPr>
        <sz val="14"/>
        <rFont val="標楷體"/>
        <family val="4"/>
        <charset val="136"/>
      </rPr>
      <t>年仍有補助，則轉由該計畫項下支應。</t>
    </r>
    <phoneticPr fontId="12" type="noConversion"/>
  </si>
  <si>
    <r>
      <t>107</t>
    </r>
    <r>
      <rPr>
        <sz val="14"/>
        <rFont val="標楷體"/>
        <family val="4"/>
        <charset val="136"/>
      </rPr>
      <t>年度增加經費</t>
    </r>
    <r>
      <rPr>
        <sz val="14"/>
        <rFont val="Times New Roman"/>
        <family val="1"/>
      </rPr>
      <t>1,954</t>
    </r>
    <r>
      <rPr>
        <sz val="14"/>
        <rFont val="標楷體"/>
        <family val="4"/>
        <charset val="136"/>
      </rPr>
      <t>千元，其中</t>
    </r>
    <r>
      <rPr>
        <sz val="14"/>
        <rFont val="Times New Roman"/>
        <family val="1"/>
      </rPr>
      <t>1,700</t>
    </r>
    <r>
      <rPr>
        <sz val="14"/>
        <rFont val="標楷體"/>
        <family val="4"/>
        <charset val="136"/>
      </rPr>
      <t>千元由研發處執行政府計畫配合款移撥至圖書館。</t>
    </r>
    <phoneticPr fontId="12" type="noConversion"/>
  </si>
  <si>
    <r>
      <t>103</t>
    </r>
    <r>
      <rPr>
        <sz val="12"/>
        <color theme="1"/>
        <rFont val="新細明體"/>
        <family val="2"/>
        <charset val="136"/>
        <scheme val="minor"/>
      </rPr>
      <t>年度起新增。</t>
    </r>
    <phoneticPr fontId="12" type="noConversion"/>
  </si>
  <si>
    <r>
      <rPr>
        <sz val="14"/>
        <rFont val="標楷體"/>
        <family val="4"/>
        <charset val="136"/>
      </rPr>
      <t>圖書館多數網路交換器老舊，無法因應師生研究所需，擬分</t>
    </r>
    <r>
      <rPr>
        <sz val="14"/>
        <rFont val="Times New Roman"/>
        <family val="1"/>
      </rPr>
      <t>2</t>
    </r>
    <r>
      <rPr>
        <sz val="14"/>
        <rFont val="標楷體"/>
        <family val="4"/>
        <charset val="136"/>
      </rPr>
      <t>年更新，</t>
    </r>
    <r>
      <rPr>
        <sz val="14"/>
        <rFont val="Times New Roman"/>
        <family val="1"/>
      </rPr>
      <t>108</t>
    </r>
    <r>
      <rPr>
        <sz val="14"/>
        <rFont val="標楷體"/>
        <family val="4"/>
        <charset val="136"/>
      </rPr>
      <t>年需資本門</t>
    </r>
    <r>
      <rPr>
        <sz val="14"/>
        <rFont val="Times New Roman"/>
        <family val="1"/>
      </rPr>
      <t>67</t>
    </r>
    <r>
      <rPr>
        <sz val="14"/>
        <rFont val="標楷體"/>
        <family val="4"/>
        <charset val="136"/>
      </rPr>
      <t>萬元、</t>
    </r>
    <r>
      <rPr>
        <sz val="14"/>
        <rFont val="Times New Roman"/>
        <family val="1"/>
      </rPr>
      <t>109</t>
    </r>
    <r>
      <rPr>
        <sz val="14"/>
        <rFont val="標楷體"/>
        <family val="4"/>
        <charset val="136"/>
      </rPr>
      <t>年需資本門</t>
    </r>
    <r>
      <rPr>
        <sz val="14"/>
        <rFont val="Times New Roman"/>
        <family val="1"/>
      </rPr>
      <t>128</t>
    </r>
    <r>
      <rPr>
        <sz val="14"/>
        <rFont val="標楷體"/>
        <family val="4"/>
        <charset val="136"/>
      </rPr>
      <t>萬元，共計</t>
    </r>
    <r>
      <rPr>
        <sz val="14"/>
        <rFont val="Times New Roman"/>
        <family val="1"/>
      </rPr>
      <t>195</t>
    </r>
    <r>
      <rPr>
        <sz val="14"/>
        <rFont val="標楷體"/>
        <family val="4"/>
        <charset val="136"/>
      </rPr>
      <t>萬元</t>
    </r>
    <phoneticPr fontId="12" type="noConversion"/>
  </si>
  <si>
    <r>
      <rPr>
        <sz val="14"/>
        <rFont val="標楷體"/>
        <family val="4"/>
        <charset val="136"/>
      </rPr>
      <t>隨公開取用</t>
    </r>
    <r>
      <rPr>
        <sz val="14"/>
        <rFont val="Times New Roman"/>
        <family val="1"/>
      </rPr>
      <t>(OA)</t>
    </r>
    <r>
      <rPr>
        <sz val="14"/>
        <rFont val="標楷體"/>
        <family val="4"/>
        <charset val="136"/>
      </rPr>
      <t>期刊盛行，出現掠奪性期刊出版社假學術之名行騙錢之實，擬積極推廣</t>
    </r>
    <r>
      <rPr>
        <sz val="14"/>
        <rFont val="Times New Roman"/>
        <family val="1"/>
      </rPr>
      <t>OA</t>
    </r>
    <r>
      <rPr>
        <sz val="14"/>
        <rFont val="標楷體"/>
        <family val="4"/>
        <charset val="136"/>
      </rPr>
      <t>期刊，防範學術詐騙陷阱。為期</t>
    </r>
    <r>
      <rPr>
        <sz val="14"/>
        <rFont val="Times New Roman"/>
        <family val="1"/>
      </rPr>
      <t>2</t>
    </r>
    <r>
      <rPr>
        <sz val="14"/>
        <rFont val="標楷體"/>
        <family val="4"/>
        <charset val="136"/>
      </rPr>
      <t>年，</t>
    </r>
    <r>
      <rPr>
        <sz val="14"/>
        <rFont val="Times New Roman"/>
        <family val="1"/>
      </rPr>
      <t>108</t>
    </r>
    <r>
      <rPr>
        <sz val="14"/>
        <rFont val="標楷體"/>
        <family val="4"/>
        <charset val="136"/>
      </rPr>
      <t>年所需經常費</t>
    </r>
    <r>
      <rPr>
        <sz val="14"/>
        <rFont val="Times New Roman"/>
        <family val="1"/>
      </rPr>
      <t>22</t>
    </r>
    <r>
      <rPr>
        <sz val="14"/>
        <rFont val="標楷體"/>
        <family val="4"/>
        <charset val="136"/>
      </rPr>
      <t>萬</t>
    </r>
    <r>
      <rPr>
        <sz val="14"/>
        <rFont val="Times New Roman"/>
        <family val="1"/>
      </rPr>
      <t>6</t>
    </r>
    <r>
      <rPr>
        <sz val="14"/>
        <rFont val="標楷體"/>
        <family val="4"/>
        <charset val="136"/>
      </rPr>
      <t>千元、</t>
    </r>
    <r>
      <rPr>
        <sz val="14"/>
        <rFont val="Times New Roman"/>
        <family val="1"/>
      </rPr>
      <t>109</t>
    </r>
    <r>
      <rPr>
        <sz val="14"/>
        <rFont val="標楷體"/>
        <family val="4"/>
        <charset val="136"/>
      </rPr>
      <t>年</t>
    </r>
    <r>
      <rPr>
        <sz val="14"/>
        <rFont val="Times New Roman"/>
        <family val="1"/>
      </rPr>
      <t>66</t>
    </r>
    <r>
      <rPr>
        <sz val="14"/>
        <rFont val="標楷體"/>
        <family val="4"/>
        <charset val="136"/>
      </rPr>
      <t>萬</t>
    </r>
    <r>
      <rPr>
        <sz val="14"/>
        <rFont val="Times New Roman"/>
        <family val="1"/>
      </rPr>
      <t>6</t>
    </r>
    <r>
      <rPr>
        <sz val="14"/>
        <rFont val="標楷體"/>
        <family val="4"/>
        <charset val="136"/>
      </rPr>
      <t>千元，共</t>
    </r>
    <r>
      <rPr>
        <sz val="14"/>
        <rFont val="Times New Roman"/>
        <family val="1"/>
      </rPr>
      <t>89</t>
    </r>
    <r>
      <rPr>
        <sz val="14"/>
        <rFont val="標楷體"/>
        <family val="4"/>
        <charset val="136"/>
      </rPr>
      <t>萬</t>
    </r>
    <r>
      <rPr>
        <sz val="14"/>
        <rFont val="Times New Roman"/>
        <family val="1"/>
      </rPr>
      <t>2</t>
    </r>
    <r>
      <rPr>
        <sz val="14"/>
        <rFont val="標楷體"/>
        <family val="4"/>
        <charset val="136"/>
      </rPr>
      <t>千元。</t>
    </r>
    <phoneticPr fontId="12" type="noConversion"/>
  </si>
  <si>
    <r>
      <t>108</t>
    </r>
    <r>
      <rPr>
        <sz val="14"/>
        <rFont val="標楷體"/>
        <family val="4"/>
        <charset val="136"/>
      </rPr>
      <t>年</t>
    </r>
    <r>
      <rPr>
        <sz val="14"/>
        <rFont val="Times New Roman"/>
        <family val="1"/>
      </rPr>
      <t>54</t>
    </r>
    <r>
      <rPr>
        <sz val="14"/>
        <rFont val="標楷體"/>
        <family val="4"/>
        <charset val="136"/>
      </rPr>
      <t>萬</t>
    </r>
    <r>
      <rPr>
        <sz val="14"/>
        <rFont val="Times New Roman"/>
        <family val="1"/>
      </rPr>
      <t>8</t>
    </r>
    <r>
      <rPr>
        <sz val="14"/>
        <rFont val="標楷體"/>
        <family val="4"/>
        <charset val="136"/>
      </rPr>
      <t>千元、</t>
    </r>
    <r>
      <rPr>
        <sz val="14"/>
        <rFont val="Times New Roman"/>
        <family val="1"/>
      </rPr>
      <t>109</t>
    </r>
    <r>
      <rPr>
        <sz val="14"/>
        <rFont val="標楷體"/>
        <family val="4"/>
        <charset val="136"/>
      </rPr>
      <t>年</t>
    </r>
    <r>
      <rPr>
        <sz val="14"/>
        <rFont val="Times New Roman"/>
        <family val="1"/>
      </rPr>
      <t>70</t>
    </r>
    <r>
      <rPr>
        <sz val="14"/>
        <rFont val="標楷體"/>
        <family val="4"/>
        <charset val="136"/>
      </rPr>
      <t>萬元，共計</t>
    </r>
    <r>
      <rPr>
        <sz val="14"/>
        <rFont val="Times New Roman"/>
        <family val="1"/>
      </rPr>
      <t>124</t>
    </r>
    <r>
      <rPr>
        <sz val="14"/>
        <rFont val="標楷體"/>
        <family val="4"/>
        <charset val="136"/>
      </rPr>
      <t>萬</t>
    </r>
    <r>
      <rPr>
        <sz val="14"/>
        <rFont val="Times New Roman"/>
        <family val="1"/>
      </rPr>
      <t>8</t>
    </r>
    <r>
      <rPr>
        <sz val="14"/>
        <rFont val="標楷體"/>
        <family val="4"/>
        <charset val="136"/>
      </rPr>
      <t>千元，由學雜費調增之收入支應。</t>
    </r>
    <phoneticPr fontId="12" type="noConversion"/>
  </si>
  <si>
    <r>
      <t>含學生校外競賽活動經費</t>
    </r>
    <r>
      <rPr>
        <sz val="12"/>
        <color theme="1"/>
        <rFont val="新細明體"/>
        <family val="2"/>
        <charset val="136"/>
        <scheme val="minor"/>
      </rPr>
      <t>300千元。</t>
    </r>
  </si>
  <si>
    <t>依國立中興大學103學年度第12次校務協調會議決議辦理</t>
    <phoneticPr fontId="12" type="noConversion"/>
  </si>
  <si>
    <r>
      <t>原分配800千元，因文康活動費預算刪減，</t>
    </r>
    <r>
      <rPr>
        <sz val="12"/>
        <rFont val="細明體"/>
        <family val="3"/>
        <charset val="136"/>
      </rPr>
      <t>年度中配合減少預算分配數160千元。</t>
    </r>
    <phoneticPr fontId="12" type="noConversion"/>
  </si>
  <si>
    <r>
      <t>1.</t>
    </r>
    <r>
      <rPr>
        <sz val="14"/>
        <rFont val="標楷體"/>
        <family val="4"/>
        <charset val="136"/>
      </rPr>
      <t>本校田徑場於已使用</t>
    </r>
    <r>
      <rPr>
        <sz val="14"/>
        <rFont val="Times New Roman"/>
        <family val="1"/>
      </rPr>
      <t>40</t>
    </r>
    <r>
      <rPr>
        <sz val="14"/>
        <rFont val="標楷體"/>
        <family val="4"/>
        <charset val="136"/>
      </rPr>
      <t>餘年，外觀斑駁，內部空間及廁所老舊，影響師生民眾之觀感。</t>
    </r>
    <r>
      <rPr>
        <sz val="14"/>
        <rFont val="Times New Roman"/>
        <family val="1"/>
      </rPr>
      <t>108</t>
    </r>
    <r>
      <rPr>
        <sz val="14"/>
        <rFont val="標楷體"/>
        <family val="4"/>
        <charset val="136"/>
      </rPr>
      <t>年適逢本校建校</t>
    </r>
    <r>
      <rPr>
        <sz val="14"/>
        <rFont val="Times New Roman"/>
        <family val="1"/>
      </rPr>
      <t>100</t>
    </r>
    <r>
      <rPr>
        <sz val="14"/>
        <rFont val="標楷體"/>
        <family val="4"/>
        <charset val="136"/>
      </rPr>
      <t>周年，為提升本校社會形象，促進校友對學校之認同，補助</t>
    </r>
    <r>
      <rPr>
        <sz val="14"/>
        <rFont val="Times New Roman"/>
        <family val="1"/>
      </rPr>
      <t>1,500</t>
    </r>
    <r>
      <rPr>
        <sz val="14"/>
        <rFont val="標楷體"/>
        <family val="4"/>
        <charset val="136"/>
      </rPr>
      <t xml:space="preserve">萬規劃建設之經費。
</t>
    </r>
    <r>
      <rPr>
        <sz val="14"/>
        <rFont val="Times New Roman"/>
        <family val="1"/>
      </rPr>
      <t>2.</t>
    </r>
    <r>
      <rPr>
        <sz val="14"/>
        <rFont val="標楷體"/>
        <family val="4"/>
        <charset val="136"/>
      </rPr>
      <t>依</t>
    </r>
    <r>
      <rPr>
        <sz val="14"/>
        <rFont val="Times New Roman"/>
        <family val="1"/>
      </rPr>
      <t>1071000134</t>
    </r>
    <r>
      <rPr>
        <sz val="14"/>
        <rFont val="標楷體"/>
        <family val="4"/>
        <charset val="136"/>
      </rPr>
      <t>號簽呈核示：請體育室至校務協調會報告規劃構想。</t>
    </r>
    <phoneticPr fontId="12" type="noConversion"/>
  </si>
  <si>
    <r>
      <t>1.</t>
    </r>
    <r>
      <rPr>
        <sz val="14"/>
        <rFont val="標楷體"/>
        <family val="4"/>
        <charset val="136"/>
      </rPr>
      <t>暫核列經費</t>
    </r>
    <r>
      <rPr>
        <sz val="14"/>
        <rFont val="Times New Roman"/>
        <family val="1"/>
      </rPr>
      <t>50,000</t>
    </r>
    <r>
      <rPr>
        <sz val="14"/>
        <rFont val="標楷體"/>
        <family val="4"/>
        <charset val="136"/>
      </rPr>
      <t xml:space="preserve">千元，視體育署補助情形調減經費核列數，並可考量由學雜費調增之收入分年提撥支應。
</t>
    </r>
    <r>
      <rPr>
        <sz val="14"/>
        <rFont val="Times New Roman"/>
        <family val="1"/>
      </rPr>
      <t>2.</t>
    </r>
    <r>
      <rPr>
        <sz val="14"/>
        <rFont val="標楷體"/>
        <family val="4"/>
        <charset val="136"/>
      </rPr>
      <t xml:space="preserve">若屆時未獲補助，請補提校務基金管理委員會追認。
</t>
    </r>
    <r>
      <rPr>
        <b/>
        <sz val="14"/>
        <rFont val="Times New Roman"/>
        <family val="1"/>
      </rPr>
      <t>3.</t>
    </r>
    <r>
      <rPr>
        <b/>
        <sz val="14"/>
        <rFont val="標楷體"/>
        <family val="4"/>
        <charset val="136"/>
      </rPr>
      <t>教育部及體育署計補助</t>
    </r>
    <r>
      <rPr>
        <b/>
        <sz val="14"/>
        <rFont val="Times New Roman"/>
        <family val="1"/>
      </rPr>
      <t>27,400</t>
    </r>
    <r>
      <rPr>
        <b/>
        <sz val="14"/>
        <rFont val="標楷體"/>
        <family val="4"/>
        <charset val="136"/>
      </rPr>
      <t>千元，餘</t>
    </r>
    <r>
      <rPr>
        <b/>
        <sz val="14"/>
        <rFont val="Times New Roman"/>
        <family val="1"/>
      </rPr>
      <t>22,600</t>
    </r>
    <r>
      <rPr>
        <b/>
        <sz val="14"/>
        <rFont val="標楷體"/>
        <family val="4"/>
        <charset val="136"/>
      </rPr>
      <t>千元經</t>
    </r>
    <r>
      <rPr>
        <b/>
        <sz val="14"/>
        <rFont val="Times New Roman"/>
        <family val="1"/>
      </rPr>
      <t>1081000135</t>
    </r>
    <r>
      <rPr>
        <b/>
        <sz val="14"/>
        <rFont val="標楷體"/>
        <family val="4"/>
        <charset val="136"/>
      </rPr>
      <t>號簽呈核准由校務基金支應並補提校務基金管理委員會追認。</t>
    </r>
    <phoneticPr fontId="12" type="noConversion"/>
  </si>
  <si>
    <r>
      <rPr>
        <sz val="14"/>
        <rFont val="標楷體"/>
        <family val="4"/>
        <charset val="136"/>
      </rPr>
      <t>因郵資上漲</t>
    </r>
    <r>
      <rPr>
        <sz val="14"/>
        <rFont val="標楷體"/>
        <family val="4"/>
        <charset val="136"/>
      </rPr>
      <t>，致全校發文及公務信件郵資增加</t>
    </r>
    <r>
      <rPr>
        <sz val="14"/>
        <rFont val="標楷體"/>
        <family val="4"/>
        <charset val="136"/>
      </rPr>
      <t>，自</t>
    </r>
    <r>
      <rPr>
        <sz val="14"/>
        <rFont val="Times New Roman"/>
        <family val="1"/>
      </rPr>
      <t>108</t>
    </r>
    <r>
      <rPr>
        <sz val="14"/>
        <rFont val="標楷體"/>
        <family val="4"/>
        <charset val="136"/>
      </rPr>
      <t>年起增加經常門</t>
    </r>
    <r>
      <rPr>
        <sz val="14"/>
        <rFont val="Times New Roman"/>
        <family val="1"/>
      </rPr>
      <t>20</t>
    </r>
    <r>
      <rPr>
        <sz val="14"/>
        <rFont val="標楷體"/>
        <family val="4"/>
        <charset val="136"/>
      </rPr>
      <t>萬元。</t>
    </r>
    <phoneticPr fontId="12" type="noConversion"/>
  </si>
  <si>
    <r>
      <t>102</t>
    </r>
    <r>
      <rPr>
        <sz val="12"/>
        <color theme="1"/>
        <rFont val="新細明體"/>
        <family val="2"/>
        <charset val="136"/>
        <scheme val="minor"/>
      </rPr>
      <t>年度電子公文汰舊換新補助資本門250千元，為一次性項目，故103年度資本門較102年度減少250千元。</t>
    </r>
    <phoneticPr fontId="12" type="noConversion"/>
  </si>
  <si>
    <r>
      <t>107</t>
    </r>
    <r>
      <rPr>
        <sz val="14"/>
        <rFont val="標楷體"/>
        <family val="4"/>
        <charset val="136"/>
      </rPr>
      <t>年度新增專項經費。</t>
    </r>
    <phoneticPr fontId="12" type="noConversion"/>
  </si>
  <si>
    <t>原列經費增列100千元</t>
    <phoneticPr fontId="12" type="noConversion"/>
  </si>
  <si>
    <t>原分配450千元，因文康活動費預算刪減，年度中配合減少預算分配數90千元。</t>
    <phoneticPr fontId="12" type="noConversion"/>
  </si>
  <si>
    <t>含未婚聯誼、校園巡禮、環境教育訓練及企業參訪。</t>
    <phoneticPr fontId="12" type="noConversion"/>
  </si>
  <si>
    <r>
      <rPr>
        <sz val="14"/>
        <rFont val="標楷體"/>
        <family val="4"/>
        <charset val="136"/>
      </rPr>
      <t>進用身障學生經費</t>
    </r>
    <r>
      <rPr>
        <sz val="14"/>
        <rFont val="Times New Roman"/>
        <family val="1"/>
      </rPr>
      <t>93</t>
    </r>
    <r>
      <rPr>
        <sz val="14"/>
        <rFont val="標楷體"/>
        <family val="4"/>
        <charset val="136"/>
      </rPr>
      <t>萬元。</t>
    </r>
    <phoneticPr fontId="12" type="noConversion"/>
  </si>
  <si>
    <t>依預計需求調整經資門</t>
  </si>
  <si>
    <t>依預計需求調整經資門</t>
    <phoneticPr fontId="12" type="noConversion"/>
  </si>
  <si>
    <r>
      <t>經資門調整：經常門</t>
    </r>
    <r>
      <rPr>
        <sz val="12"/>
        <rFont val="Times New Roman"/>
        <family val="1"/>
      </rPr>
      <t>4,000</t>
    </r>
    <r>
      <rPr>
        <sz val="12"/>
        <color theme="1"/>
        <rFont val="新細明體"/>
        <family val="2"/>
        <charset val="136"/>
        <scheme val="minor"/>
      </rPr>
      <t>千元、資本門</t>
    </r>
    <r>
      <rPr>
        <sz val="12"/>
        <rFont val="Times New Roman"/>
        <family val="1"/>
      </rPr>
      <t>6,000</t>
    </r>
    <r>
      <rPr>
        <sz val="12"/>
        <color theme="1"/>
        <rFont val="新細明體"/>
        <family val="2"/>
        <charset val="136"/>
        <scheme val="minor"/>
      </rPr>
      <t>千元</t>
    </r>
    <phoneticPr fontId="12" type="noConversion"/>
  </si>
  <si>
    <r>
      <rPr>
        <sz val="14"/>
        <rFont val="標楷體"/>
        <family val="4"/>
        <charset val="136"/>
      </rPr>
      <t>依預計需求調整各計畫經常門</t>
    </r>
    <phoneticPr fontId="12" type="noConversion"/>
  </si>
  <si>
    <t>依預計需求調整各計畫經常門</t>
    <phoneticPr fontId="12" type="noConversion"/>
  </si>
  <si>
    <r>
      <rPr>
        <sz val="14"/>
        <rFont val="標楷體"/>
        <family val="4"/>
        <charset val="136"/>
      </rPr>
      <t>因一般事業廢棄物清運處理費用增加，</t>
    </r>
    <r>
      <rPr>
        <sz val="14"/>
        <rFont val="Times New Roman"/>
        <family val="1"/>
      </rPr>
      <t>108</t>
    </r>
    <r>
      <rPr>
        <sz val="14"/>
        <rFont val="標楷體"/>
        <family val="4"/>
        <charset val="136"/>
      </rPr>
      <t>年度增加經費</t>
    </r>
    <r>
      <rPr>
        <sz val="14"/>
        <rFont val="Times New Roman"/>
        <family val="1"/>
      </rPr>
      <t>1,816</t>
    </r>
    <r>
      <rPr>
        <sz val="14"/>
        <rFont val="標楷體"/>
        <family val="4"/>
        <charset val="136"/>
      </rPr>
      <t>千元，。</t>
    </r>
    <phoneticPr fontId="12" type="noConversion"/>
  </si>
  <si>
    <r>
      <t>1.</t>
    </r>
    <r>
      <rPr>
        <sz val="14"/>
        <rFont val="標楷體"/>
        <family val="4"/>
        <charset val="136"/>
      </rPr>
      <t>依其單位需求，經費較</t>
    </r>
    <r>
      <rPr>
        <sz val="14"/>
        <rFont val="Times New Roman"/>
        <family val="1"/>
      </rPr>
      <t>106</t>
    </r>
    <r>
      <rPr>
        <sz val="14"/>
        <rFont val="標楷體"/>
        <family val="4"/>
        <charset val="136"/>
      </rPr>
      <t xml:space="preserve">年減少。
</t>
    </r>
    <r>
      <rPr>
        <sz val="14"/>
        <rFont val="Times New Roman"/>
        <family val="1"/>
      </rPr>
      <t>2.</t>
    </r>
    <r>
      <rPr>
        <sz val="14"/>
        <rFont val="標楷體"/>
        <family val="4"/>
        <charset val="136"/>
      </rPr>
      <t>原名稱為「一般廢棄物清運處理」，</t>
    </r>
    <r>
      <rPr>
        <sz val="14"/>
        <rFont val="Times New Roman"/>
        <family val="1"/>
      </rPr>
      <t>107</t>
    </r>
    <r>
      <rPr>
        <sz val="14"/>
        <rFont val="標楷體"/>
        <family val="4"/>
        <charset val="136"/>
      </rPr>
      <t>年更名為「環保及廢棄物清理」。</t>
    </r>
    <phoneticPr fontId="12" type="noConversion"/>
  </si>
  <si>
    <r>
      <t>106</t>
    </r>
    <r>
      <rPr>
        <sz val="14"/>
        <rFont val="標楷體"/>
        <family val="4"/>
        <charset val="136"/>
      </rPr>
      <t>年度原列分配經費增加</t>
    </r>
  </si>
  <si>
    <t>原列經費增列1,700千元</t>
    <phoneticPr fontId="12" type="noConversion"/>
  </si>
  <si>
    <r>
      <rPr>
        <sz val="14"/>
        <rFont val="標楷體"/>
        <family val="4"/>
        <charset val="136"/>
      </rPr>
      <t>勞工健康檢查業務因應受檢人員數量浮動</t>
    </r>
    <r>
      <rPr>
        <sz val="14"/>
        <rFont val="Times New Roman"/>
        <family val="1"/>
      </rPr>
      <t>(40</t>
    </r>
    <r>
      <rPr>
        <sz val="14"/>
        <rFont val="標楷體"/>
        <family val="4"/>
        <charset val="136"/>
      </rPr>
      <t>歲以下每五年一次，</t>
    </r>
    <r>
      <rPr>
        <sz val="14"/>
        <rFont val="Times New Roman"/>
        <family val="1"/>
      </rPr>
      <t>40~65</t>
    </r>
    <r>
      <rPr>
        <sz val="14"/>
        <rFont val="標楷體"/>
        <family val="4"/>
        <charset val="136"/>
      </rPr>
      <t>歲每三年一次，</t>
    </r>
    <r>
      <rPr>
        <sz val="14"/>
        <rFont val="Times New Roman"/>
        <family val="1"/>
      </rPr>
      <t>65</t>
    </r>
    <r>
      <rPr>
        <sz val="14"/>
        <rFont val="標楷體"/>
        <family val="4"/>
        <charset val="136"/>
      </rPr>
      <t>歲以上每年一次及需定期追蹤人員</t>
    </r>
    <r>
      <rPr>
        <sz val="14"/>
        <rFont val="Times New Roman"/>
        <family val="1"/>
      </rPr>
      <t>)</t>
    </r>
    <r>
      <rPr>
        <sz val="14"/>
        <rFont val="標楷體"/>
        <family val="4"/>
        <charset val="136"/>
      </rPr>
      <t>，</t>
    </r>
    <r>
      <rPr>
        <sz val="14"/>
        <rFont val="Times New Roman"/>
        <family val="1"/>
      </rPr>
      <t>105</t>
    </r>
    <r>
      <rPr>
        <sz val="14"/>
        <rFont val="標楷體"/>
        <family val="4"/>
        <charset val="136"/>
      </rPr>
      <t>年度為首次辦理，</t>
    </r>
    <r>
      <rPr>
        <sz val="14"/>
        <rFont val="Times New Roman"/>
        <family val="1"/>
      </rPr>
      <t>108</t>
    </r>
    <r>
      <rPr>
        <sz val="14"/>
        <rFont val="標楷體"/>
        <family val="4"/>
        <charset val="136"/>
      </rPr>
      <t>年度適逢部分人員需再次檢查，故經費需求稍微增加，爾後每年度預計需求數皆會因該年度受檢人員數量而異。</t>
    </r>
    <phoneticPr fontId="12" type="noConversion"/>
  </si>
  <si>
    <r>
      <rPr>
        <sz val="14"/>
        <rFont val="標楷體"/>
        <family val="4"/>
        <charset val="136"/>
      </rPr>
      <t>勞工健康檢查業務因應受檢人員數量浮動</t>
    </r>
    <r>
      <rPr>
        <sz val="14"/>
        <rFont val="Times New Roman"/>
        <family val="1"/>
      </rPr>
      <t>(40</t>
    </r>
    <r>
      <rPr>
        <sz val="14"/>
        <rFont val="標楷體"/>
        <family val="4"/>
        <charset val="136"/>
      </rPr>
      <t>歲以下每五年一次，</t>
    </r>
    <r>
      <rPr>
        <sz val="14"/>
        <rFont val="Times New Roman"/>
        <family val="1"/>
      </rPr>
      <t>40~65</t>
    </r>
    <r>
      <rPr>
        <sz val="14"/>
        <rFont val="標楷體"/>
        <family val="4"/>
        <charset val="136"/>
      </rPr>
      <t>歲每三年一次，</t>
    </r>
    <r>
      <rPr>
        <sz val="14"/>
        <rFont val="Times New Roman"/>
        <family val="1"/>
      </rPr>
      <t>65</t>
    </r>
    <r>
      <rPr>
        <sz val="14"/>
        <rFont val="標楷體"/>
        <family val="4"/>
        <charset val="136"/>
      </rPr>
      <t>歲以上每年一次及需定期追蹤人員</t>
    </r>
    <r>
      <rPr>
        <sz val="14"/>
        <rFont val="Times New Roman"/>
        <family val="1"/>
      </rPr>
      <t>)</t>
    </r>
    <r>
      <rPr>
        <sz val="14"/>
        <rFont val="標楷體"/>
        <family val="4"/>
        <charset val="136"/>
      </rPr>
      <t>，</t>
    </r>
    <r>
      <rPr>
        <sz val="14"/>
        <rFont val="Times New Roman"/>
        <family val="1"/>
      </rPr>
      <t>105</t>
    </r>
    <r>
      <rPr>
        <sz val="14"/>
        <rFont val="標楷體"/>
        <family val="4"/>
        <charset val="136"/>
      </rPr>
      <t>年度為首次辦理，故經費需求較大，爾後每年度預計需求數皆會因該年度受檢人員數量而異。</t>
    </r>
    <phoneticPr fontId="12" type="noConversion"/>
  </si>
  <si>
    <r>
      <t>105</t>
    </r>
    <r>
      <rPr>
        <sz val="14"/>
        <rFont val="標楷體"/>
        <family val="4"/>
        <charset val="136"/>
      </rPr>
      <t>年度分配</t>
    </r>
    <r>
      <rPr>
        <sz val="14"/>
        <rFont val="Times New Roman"/>
        <family val="1"/>
      </rPr>
      <t>600</t>
    </r>
    <r>
      <rPr>
        <sz val="14"/>
        <rFont val="標楷體"/>
        <family val="4"/>
        <charset val="136"/>
      </rPr>
      <t>千元，</t>
    </r>
    <r>
      <rPr>
        <sz val="14"/>
        <rFont val="Times New Roman"/>
        <family val="1"/>
      </rPr>
      <t>106</t>
    </r>
    <r>
      <rPr>
        <sz val="14"/>
        <rFont val="標楷體"/>
        <family val="4"/>
        <charset val="136"/>
      </rPr>
      <t>年度擬降至</t>
    </r>
    <r>
      <rPr>
        <sz val="14"/>
        <rFont val="Times New Roman"/>
        <family val="1"/>
      </rPr>
      <t>400</t>
    </r>
    <r>
      <rPr>
        <sz val="14"/>
        <rFont val="標楷體"/>
        <family val="4"/>
        <charset val="136"/>
      </rPr>
      <t>千元，係因應受檢人員數量浮動</t>
    </r>
    <r>
      <rPr>
        <sz val="14"/>
        <rFont val="Times New Roman"/>
        <family val="1"/>
      </rPr>
      <t>(40</t>
    </r>
    <r>
      <rPr>
        <sz val="14"/>
        <rFont val="標楷體"/>
        <family val="4"/>
        <charset val="136"/>
      </rPr>
      <t>歲以下每五年一次，</t>
    </r>
    <r>
      <rPr>
        <sz val="14"/>
        <rFont val="Times New Roman"/>
        <family val="1"/>
      </rPr>
      <t>40~65</t>
    </r>
    <r>
      <rPr>
        <sz val="14"/>
        <rFont val="標楷體"/>
        <family val="4"/>
        <charset val="136"/>
      </rPr>
      <t>歲每三年一次，</t>
    </r>
    <r>
      <rPr>
        <sz val="14"/>
        <rFont val="Times New Roman"/>
        <family val="1"/>
      </rPr>
      <t>65</t>
    </r>
    <r>
      <rPr>
        <sz val="14"/>
        <rFont val="標楷體"/>
        <family val="4"/>
        <charset val="136"/>
      </rPr>
      <t>歲以上每年一次及需定期追蹤人員</t>
    </r>
    <r>
      <rPr>
        <sz val="14"/>
        <rFont val="Times New Roman"/>
        <family val="1"/>
      </rPr>
      <t>)</t>
    </r>
    <r>
      <rPr>
        <sz val="14"/>
        <rFont val="標楷體"/>
        <family val="4"/>
        <charset val="136"/>
      </rPr>
      <t>，</t>
    </r>
    <r>
      <rPr>
        <sz val="14"/>
        <rFont val="Times New Roman"/>
        <family val="1"/>
      </rPr>
      <t>105</t>
    </r>
    <r>
      <rPr>
        <sz val="14"/>
        <rFont val="標楷體"/>
        <family val="4"/>
        <charset val="136"/>
      </rPr>
      <t>年度為首次辦理，故經費需求較大，爾後每年度預計需求數皆會因該年度受檢人員數量而異</t>
    </r>
    <phoneticPr fontId="12" type="noConversion"/>
  </si>
  <si>
    <r>
      <rPr>
        <sz val="14"/>
        <rFont val="標楷體"/>
        <family val="4"/>
        <charset val="136"/>
      </rPr>
      <t>為符合法令規定，</t>
    </r>
    <r>
      <rPr>
        <sz val="14"/>
        <rFont val="Times New Roman"/>
        <family val="1"/>
      </rPr>
      <t>108</t>
    </r>
    <r>
      <rPr>
        <sz val="14"/>
        <rFont val="標楷體"/>
        <family val="4"/>
        <charset val="136"/>
      </rPr>
      <t>年度新增專項經費。</t>
    </r>
    <phoneticPr fontId="12" type="noConversion"/>
  </si>
  <si>
    <r>
      <rPr>
        <sz val="14"/>
        <rFont val="標楷體"/>
        <family val="4"/>
        <charset val="136"/>
      </rPr>
      <t>依本校研發成果管理運用辦法第</t>
    </r>
    <r>
      <rPr>
        <sz val="14"/>
        <rFont val="Times New Roman"/>
        <family val="1"/>
      </rPr>
      <t>5</t>
    </r>
    <r>
      <rPr>
        <sz val="14"/>
        <rFont val="標楷體"/>
        <family val="4"/>
        <charset val="136"/>
      </rPr>
      <t>條第</t>
    </r>
    <r>
      <rPr>
        <sz val="14"/>
        <rFont val="Times New Roman"/>
        <family val="1"/>
      </rPr>
      <t>3</t>
    </r>
    <r>
      <rPr>
        <sz val="14"/>
        <rFont val="標楷體"/>
        <family val="4"/>
        <charset val="136"/>
      </rPr>
      <t>款規定，本校至少需負擔專利費用之</t>
    </r>
    <r>
      <rPr>
        <sz val="14"/>
        <rFont val="Times New Roman"/>
        <family val="1"/>
      </rPr>
      <t>60%</t>
    </r>
    <r>
      <rPr>
        <sz val="14"/>
        <rFont val="標楷體"/>
        <family val="4"/>
        <charset val="136"/>
      </rPr>
      <t>；依本校前</t>
    </r>
    <r>
      <rPr>
        <sz val="14"/>
        <rFont val="Times New Roman"/>
        <family val="1"/>
      </rPr>
      <t>3</t>
    </r>
    <r>
      <rPr>
        <sz val="14"/>
        <rFont val="標楷體"/>
        <family val="4"/>
        <charset val="136"/>
      </rPr>
      <t>年支出專利費用平均計算，預估</t>
    </r>
    <r>
      <rPr>
        <sz val="14"/>
        <rFont val="Times New Roman"/>
        <family val="1"/>
      </rPr>
      <t>108</t>
    </r>
    <r>
      <rPr>
        <sz val="14"/>
        <rFont val="標楷體"/>
        <family val="4"/>
        <charset val="136"/>
      </rPr>
      <t>年度需由學校支應專利維護年費及申請、答辯費與領證費等相關費用合計約</t>
    </r>
    <r>
      <rPr>
        <sz val="14"/>
        <rFont val="Times New Roman"/>
        <family val="1"/>
      </rPr>
      <t>750</t>
    </r>
    <r>
      <rPr>
        <sz val="14"/>
        <rFont val="標楷體"/>
        <family val="4"/>
        <charset val="136"/>
      </rPr>
      <t>萬元。扣除研發處由校管理費補助</t>
    </r>
    <r>
      <rPr>
        <sz val="14"/>
        <rFont val="Times New Roman"/>
        <family val="1"/>
      </rPr>
      <t>100</t>
    </r>
    <r>
      <rPr>
        <sz val="14"/>
        <rFont val="標楷體"/>
        <family val="4"/>
        <charset val="136"/>
      </rPr>
      <t>萬元、高教深耕計畫補助</t>
    </r>
    <r>
      <rPr>
        <sz val="14"/>
        <rFont val="Times New Roman"/>
        <family val="1"/>
      </rPr>
      <t>300</t>
    </r>
    <r>
      <rPr>
        <sz val="14"/>
        <rFont val="標楷體"/>
        <family val="4"/>
        <charset val="136"/>
      </rPr>
      <t>萬元後，仍需</t>
    </r>
    <r>
      <rPr>
        <sz val="14"/>
        <rFont val="Times New Roman"/>
        <family val="1"/>
      </rPr>
      <t>350</t>
    </r>
    <r>
      <rPr>
        <sz val="14"/>
        <rFont val="標楷體"/>
        <family val="4"/>
        <charset val="136"/>
      </rPr>
      <t>萬元。</t>
    </r>
    <phoneticPr fontId="12" type="noConversion"/>
  </si>
  <si>
    <t>前瞻理工科技研究中心</t>
    <phoneticPr fontId="12" type="noConversion"/>
  </si>
  <si>
    <t>前瞻理工科技研究中心合計</t>
    <phoneticPr fontId="12" type="noConversion"/>
  </si>
  <si>
    <t>依臺灣綜合大學經費支用辦法第3點，每年提撥500萬。</t>
    <phoneticPr fontId="12" type="noConversion"/>
  </si>
  <si>
    <t>校區雨水及汙水分流改管工程(109~111年)</t>
    <phoneticPr fontId="12" type="noConversion"/>
  </si>
  <si>
    <t>校區建物接管工程(109~111年)</t>
    <phoneticPr fontId="2" type="noConversion"/>
  </si>
  <si>
    <t>校區弱電共同管路埋設工程(110~111年)</t>
    <phoneticPr fontId="12" type="noConversion"/>
  </si>
  <si>
    <t>生命科學大樓老舊電梯汱換(110~111年)</t>
    <phoneticPr fontId="12" type="noConversion"/>
  </si>
  <si>
    <t>南入口景觀及雲平樓整建工程</t>
    <phoneticPr fontId="2" type="noConversion"/>
  </si>
  <si>
    <t>西一門販賣部建物改建及其周邊景觀改善工程</t>
    <phoneticPr fontId="2" type="noConversion"/>
  </si>
  <si>
    <t>2021年期刊及加購套裝資料庫決議購置15種資料庫預估共需經費6,111萬元。經費來源經109學年度西文核心期刊暨電子資料庫評審會議決議，由校務基金支應4,442萬元，深耕計畫經費支應新台幣1,327萬元，學雜費漲幅支援新台幣342萬元。</t>
    <phoneticPr fontId="12" type="noConversion"/>
  </si>
  <si>
    <t>提升興大研究競爭力-學術能量影音專區建置計畫(110-112年)</t>
    <phoneticPr fontId="2" type="noConversion"/>
  </si>
  <si>
    <t>1.包含校友中心經費913千元。(經常門754千元、資本門159千元)
2.因108年發行百年紀念郵票216萬元，分配後經常門須扣除60萬元(109~111年扣減60萬元、112年扣減36萬元)</t>
    <phoneticPr fontId="12" type="noConversion"/>
  </si>
  <si>
    <t>臺灣國立大學系統跨校合作計畫</t>
    <phoneticPr fontId="12" type="noConversion"/>
  </si>
  <si>
    <t>高教深耕USR計畫(主冊及附冊)之學校配合款</t>
    <phoneticPr fontId="65" type="noConversion"/>
  </si>
  <si>
    <t>校慶慶祝大會</t>
    <phoneticPr fontId="65" type="noConversion"/>
  </si>
  <si>
    <r>
      <t>依據106年10月2日「國立中興大學106年第5次人力評估委員會」會議決議，生科中心</t>
    </r>
    <r>
      <rPr>
        <u/>
        <sz val="14"/>
        <rFont val="標楷體"/>
        <family val="4"/>
        <charset val="136"/>
      </rPr>
      <t>增加第2名行政人力時</t>
    </r>
    <r>
      <rPr>
        <sz val="14"/>
        <rFont val="標楷體"/>
        <family val="4"/>
        <charset val="136"/>
      </rPr>
      <t>，</t>
    </r>
    <r>
      <rPr>
        <u/>
        <sz val="14"/>
        <rFont val="標楷體"/>
        <family val="4"/>
        <charset val="136"/>
      </rPr>
      <t>將提撥50萬元挹注校務基金。</t>
    </r>
    <phoneticPr fontId="12" type="noConversion"/>
  </si>
  <si>
    <t>勞工健康檢查業務因應受檢人員數量浮動(40歲以下每五年一次，40~65歲每三年一次，65歲以上每年一次及需定期追蹤人員)，每年度預計需求數皆會因該年度受檢人員數量而異。</t>
    <phoneticPr fontId="12" type="noConversion"/>
  </si>
  <si>
    <r>
      <rPr>
        <sz val="12"/>
        <color theme="1"/>
        <rFont val="標楷體"/>
        <family val="4"/>
        <charset val="136"/>
      </rPr>
      <t>請參照</t>
    </r>
    <r>
      <rPr>
        <sz val="12"/>
        <color theme="1"/>
        <rFont val="Times New Roman"/>
        <family val="1"/>
      </rPr>
      <t>110</t>
    </r>
    <r>
      <rPr>
        <sz val="12"/>
        <color theme="1"/>
        <rFont val="標楷體"/>
        <family val="4"/>
        <charset val="136"/>
      </rPr>
      <t>年度行政單位預算分配表填列</t>
    </r>
    <phoneticPr fontId="2" type="noConversion"/>
  </si>
  <si>
    <t>111年度各單位預算分配表</t>
    <phoneticPr fontId="12" type="noConversion"/>
  </si>
  <si>
    <r>
      <t>111</t>
    </r>
    <r>
      <rPr>
        <sz val="16"/>
        <rFont val="細明體"/>
        <family val="3"/>
        <charset val="136"/>
      </rPr>
      <t>年度經費分配數額</t>
    </r>
    <phoneticPr fontId="12" type="noConversion"/>
  </si>
  <si>
    <r>
      <t>111</t>
    </r>
    <r>
      <rPr>
        <sz val="16"/>
        <rFont val="細明體"/>
        <family val="3"/>
        <charset val="136"/>
      </rPr>
      <t xml:space="preserve">年度行政單位控留款
</t>
    </r>
    <r>
      <rPr>
        <sz val="16"/>
        <rFont val="Times New Roman"/>
        <family val="1"/>
      </rPr>
      <t>(</t>
    </r>
    <r>
      <rPr>
        <sz val="16"/>
        <rFont val="細明體"/>
        <family val="3"/>
        <charset val="136"/>
      </rPr>
      <t>經常費</t>
    </r>
    <r>
      <rPr>
        <sz val="16"/>
        <rFont val="Times New Roman"/>
        <family val="1"/>
      </rPr>
      <t>10%</t>
    </r>
    <r>
      <rPr>
        <sz val="16"/>
        <rFont val="細明體"/>
        <family val="3"/>
        <charset val="136"/>
      </rPr>
      <t>、設備費</t>
    </r>
    <r>
      <rPr>
        <sz val="16"/>
        <rFont val="Times New Roman"/>
        <family val="1"/>
      </rPr>
      <t>5%)</t>
    </r>
    <phoneticPr fontId="12" type="noConversion"/>
  </si>
  <si>
    <r>
      <t>111</t>
    </r>
    <r>
      <rPr>
        <sz val="16"/>
        <rFont val="細明體"/>
        <family val="3"/>
        <charset val="136"/>
      </rPr>
      <t xml:space="preserve">年度經費分配數額
</t>
    </r>
    <r>
      <rPr>
        <sz val="16"/>
        <rFont val="Times New Roman"/>
        <family val="1"/>
      </rPr>
      <t>(</t>
    </r>
    <r>
      <rPr>
        <sz val="16"/>
        <rFont val="細明體"/>
        <family val="3"/>
        <charset val="136"/>
      </rPr>
      <t>單位不含行政單位控留款</t>
    </r>
    <r>
      <rPr>
        <sz val="16"/>
        <rFont val="Times New Roman"/>
        <family val="1"/>
      </rPr>
      <t>)</t>
    </r>
    <phoneticPr fontId="12" type="noConversion"/>
  </si>
  <si>
    <r>
      <t>111</t>
    </r>
    <r>
      <rPr>
        <sz val="16"/>
        <rFont val="細明體"/>
        <family val="3"/>
        <charset val="136"/>
      </rPr>
      <t>年度備註</t>
    </r>
    <phoneticPr fontId="12" type="noConversion"/>
  </si>
  <si>
    <t>公關慰勞費</t>
    <phoneticPr fontId="12" type="noConversion"/>
  </si>
  <si>
    <r>
      <rPr>
        <sz val="14"/>
        <rFont val="標楷體"/>
        <family val="4"/>
        <charset val="136"/>
      </rPr>
      <t>依</t>
    </r>
    <r>
      <rPr>
        <sz val="14"/>
        <rFont val="Times New Roman"/>
        <family val="1"/>
      </rPr>
      <t>110</t>
    </r>
    <r>
      <rPr>
        <sz val="14"/>
        <rFont val="標楷體"/>
        <family val="4"/>
        <charset val="136"/>
      </rPr>
      <t>學年度導師費預估
導師經費以每班每週輔導</t>
    </r>
    <r>
      <rPr>
        <sz val="14"/>
        <rFont val="Times New Roman"/>
        <family val="1"/>
      </rPr>
      <t>2</t>
    </r>
    <r>
      <rPr>
        <sz val="14"/>
        <rFont val="標楷體"/>
        <family val="4"/>
        <charset val="136"/>
      </rPr>
      <t>小時編列，其中</t>
    </r>
    <r>
      <rPr>
        <sz val="14"/>
        <rFont val="Times New Roman"/>
        <family val="1"/>
      </rPr>
      <t>1</t>
    </r>
    <r>
      <rPr>
        <sz val="14"/>
        <rFont val="標楷體"/>
        <family val="4"/>
        <charset val="136"/>
      </rPr>
      <t>小時為補助班導師輔導工作之費用，另一小時為聘任專任輔導老師、導生活動費、導師輔導知能研習費及其他相關輔導活動費用。</t>
    </r>
    <phoneticPr fontId="12" type="noConversion"/>
  </si>
  <si>
    <t>1.台中市政府同意接納處理學校汙水，預計107年進行本校南側及周邊汙水下水道工程，請本校配合辦理雨水及汙水分流改管，並將校區汙水集中接至鄰近公共汙水下水道人孔。經106學年度第二次校務基金管理委員會通過編列經費38,000千元。
2.本案執行情形:108年度執行33千元，109年度執行2,906千元，110年度執行5,455千元，111年度分配29,606千元。</t>
    <phoneticPr fontId="12" type="noConversion"/>
  </si>
  <si>
    <t>1.校內污水經臺中市政府水利局同意納污水下水道後，本校已配合編列 3,800 萬元辦理「校區雨水及污水分流改管工程」。校內污水管網佈設完成後，後續尚需辦理大樓內部改管，因各大樓內污水係排入化糞池內處理，故需更改大樓原有管線，以利接入新設污水管線中。經108學年度第1次校務基金管理委員會通過編列經費為39,850千元。
2.本案執行情形:109年度執行1,006千元，110年度執行4,200千元，111年度分配34,644千元。</t>
    <phoneticPr fontId="2" type="noConversion"/>
  </si>
  <si>
    <t>1.本校為中區學術網路中心，各家ISP路由業者之光纖網路匯集至本校資訊大樓，惟因缺乏專用管路可供業者使用，各家業者自行雜亂無章佈線，不利於網路服務品質，為改善此情形，而有建置弱電共同管道之急迫性，經108學年度第4次校務基金管理委員會同意編列29,420千元(工程預算書29,413千元)。
2.本案執行情形:109年度執行476千元，110年度執行2,784千元，111年度分配26,153千元。</t>
    <phoneticPr fontId="12" type="noConversion"/>
  </si>
  <si>
    <t>1.為維護本校教職員工生安全，故需汱換生命科學大樓老舊電梯，經108學年度第4次校務基金管理委員會同意編列6,870千元。
2.本案決標金額5,880千元，110年分配1,800千元，111年度分配4,080千元。</t>
    <phoneticPr fontId="12" type="noConversion"/>
  </si>
  <si>
    <t>1.為配合臺中市政府綠川水環境計畫，辦理「 南入口景觀及雲平樓整建工程」案，經108學年度第3次校務基金管理委員會同意編列 120,214千元。
2.本案執行情形:109年度執行63千元，110年度執行4,254千元、111年度分配30,000千元，餘數85,897於112-113年執行。</t>
    <phoneticPr fontId="2" type="noConversion"/>
  </si>
  <si>
    <t>1.為維護本校西側校園景觀整體性，擬配合第二餐廳工進辦理景觀改善工程,經109學年度第2次校務基金管理委員會通過編列6,700千元。
2.本案執行情形:110年度執行5千元，111年度分配6,695千元。</t>
    <phoneticPr fontId="2" type="noConversion"/>
  </si>
  <si>
    <t>興大五村新建工程</t>
    <phoneticPr fontId="2" type="noConversion"/>
  </si>
  <si>
    <r>
      <t>1.</t>
    </r>
    <r>
      <rPr>
        <sz val="14"/>
        <rFont val="標楷體"/>
        <family val="4"/>
        <charset val="136"/>
      </rPr>
      <t>本案工程總經費</t>
    </r>
    <r>
      <rPr>
        <sz val="14"/>
        <rFont val="Times New Roman"/>
        <family val="1"/>
      </rPr>
      <t>167,000</t>
    </r>
    <r>
      <rPr>
        <sz val="14"/>
        <rFont val="標楷體"/>
        <family val="4"/>
        <charset val="136"/>
      </rPr>
      <t xml:space="preserve">千元
</t>
    </r>
    <r>
      <rPr>
        <sz val="14"/>
        <rFont val="Times New Roman"/>
        <family val="1"/>
      </rPr>
      <t>2.108</t>
    </r>
    <r>
      <rPr>
        <sz val="14"/>
        <rFont val="標楷體"/>
        <family val="4"/>
        <charset val="136"/>
      </rPr>
      <t>年度執行</t>
    </r>
    <r>
      <rPr>
        <sz val="14"/>
        <rFont val="Times New Roman"/>
        <family val="1"/>
      </rPr>
      <t>9</t>
    </r>
    <r>
      <rPr>
        <sz val="14"/>
        <rFont val="標楷體"/>
        <family val="4"/>
        <charset val="136"/>
      </rPr>
      <t>千元</t>
    </r>
    <r>
      <rPr>
        <sz val="14"/>
        <rFont val="Times New Roman"/>
        <family val="1"/>
      </rPr>
      <t>(</t>
    </r>
    <r>
      <rPr>
        <sz val="14"/>
        <rFont val="標楷體"/>
        <family val="4"/>
        <charset val="136"/>
      </rPr>
      <t>由當年度預算總額內調整容納</t>
    </r>
    <r>
      <rPr>
        <sz val="14"/>
        <rFont val="Times New Roman"/>
        <family val="1"/>
      </rPr>
      <t>)</t>
    </r>
    <r>
      <rPr>
        <sz val="14"/>
        <rFont val="標楷體"/>
        <family val="4"/>
        <charset val="136"/>
      </rPr>
      <t>，</t>
    </r>
    <r>
      <rPr>
        <sz val="14"/>
        <rFont val="Times New Roman"/>
        <family val="1"/>
      </rPr>
      <t>109</t>
    </r>
    <r>
      <rPr>
        <sz val="14"/>
        <rFont val="標楷體"/>
        <family val="4"/>
        <charset val="136"/>
      </rPr>
      <t>年度未執行，</t>
    </r>
    <r>
      <rPr>
        <sz val="14"/>
        <rFont val="Times New Roman"/>
        <family val="1"/>
      </rPr>
      <t>110</t>
    </r>
    <r>
      <rPr>
        <sz val="14"/>
        <rFont val="標楷體"/>
        <family val="4"/>
        <charset val="136"/>
      </rPr>
      <t>年執行</t>
    </r>
    <r>
      <rPr>
        <sz val="14"/>
        <rFont val="Times New Roman"/>
        <family val="1"/>
      </rPr>
      <t>26</t>
    </r>
    <r>
      <rPr>
        <sz val="14"/>
        <rFont val="標楷體"/>
        <family val="4"/>
        <charset val="136"/>
      </rPr>
      <t>千元，</t>
    </r>
    <r>
      <rPr>
        <sz val="14"/>
        <rFont val="Times New Roman"/>
        <family val="1"/>
      </rPr>
      <t>111</t>
    </r>
    <r>
      <rPr>
        <sz val="14"/>
        <rFont val="標楷體"/>
        <family val="4"/>
        <charset val="136"/>
      </rPr>
      <t>年預估執行</t>
    </r>
    <r>
      <rPr>
        <sz val="14"/>
        <rFont val="Times New Roman"/>
        <family val="1"/>
      </rPr>
      <t>800</t>
    </r>
    <r>
      <rPr>
        <sz val="14"/>
        <rFont val="標楷體"/>
        <family val="4"/>
        <charset val="136"/>
      </rPr>
      <t>千元，餘數</t>
    </r>
    <r>
      <rPr>
        <sz val="14"/>
        <rFont val="Times New Roman"/>
        <family val="1"/>
      </rPr>
      <t>166,165</t>
    </r>
    <r>
      <rPr>
        <sz val="14"/>
        <rFont val="標楷體"/>
        <family val="4"/>
        <charset val="136"/>
      </rPr>
      <t>千元於</t>
    </r>
    <r>
      <rPr>
        <sz val="14"/>
        <rFont val="Times New Roman"/>
        <family val="1"/>
      </rPr>
      <t>112-115</t>
    </r>
    <r>
      <rPr>
        <sz val="14"/>
        <rFont val="標楷體"/>
        <family val="4"/>
        <charset val="136"/>
      </rPr>
      <t>年執行。</t>
    </r>
    <phoneticPr fontId="2" type="noConversion"/>
  </si>
  <si>
    <t>第三檔案庫房工程</t>
    <phoneticPr fontId="65" type="noConversion"/>
  </si>
  <si>
    <r>
      <rPr>
        <sz val="14"/>
        <rFont val="標楷體"/>
        <family val="4"/>
        <charset val="136"/>
      </rPr>
      <t>為因應現有公文檔案庫房安全存放空間將於近年滿載，秘書室前於</t>
    </r>
    <r>
      <rPr>
        <sz val="14"/>
        <rFont val="Times New Roman"/>
        <family val="1"/>
      </rPr>
      <t>109</t>
    </r>
    <r>
      <rPr>
        <sz val="14"/>
        <rFont val="標楷體"/>
        <family val="4"/>
        <charset val="136"/>
      </rPr>
      <t>年</t>
    </r>
    <r>
      <rPr>
        <sz val="14"/>
        <rFont val="Times New Roman"/>
        <family val="1"/>
      </rPr>
      <t>5</t>
    </r>
    <r>
      <rPr>
        <sz val="14"/>
        <rFont val="標楷體"/>
        <family val="4"/>
        <charset val="136"/>
      </rPr>
      <t>月</t>
    </r>
    <r>
      <rPr>
        <sz val="14"/>
        <rFont val="Times New Roman"/>
        <family val="1"/>
      </rPr>
      <t>20</t>
    </r>
    <r>
      <rPr>
        <sz val="14"/>
        <rFont val="標楷體"/>
        <family val="4"/>
        <charset val="136"/>
      </rPr>
      <t>日簽奉核可，以興創基地</t>
    </r>
    <r>
      <rPr>
        <sz val="14"/>
        <rFont val="Times New Roman"/>
        <family val="1"/>
      </rPr>
      <t>1</t>
    </r>
    <r>
      <rPr>
        <sz val="14"/>
        <rFont val="標楷體"/>
        <family val="4"/>
        <charset val="136"/>
      </rPr>
      <t>樓</t>
    </r>
    <r>
      <rPr>
        <sz val="14"/>
        <rFont val="Times New Roman"/>
        <family val="1"/>
      </rPr>
      <t>2</t>
    </r>
    <r>
      <rPr>
        <sz val="14"/>
        <rFont val="標楷體"/>
        <family val="4"/>
        <charset val="136"/>
      </rPr>
      <t>間無地下室之區域，作為檔案庫房預定空間。為配合場地使用現況，先行規劃建置其中</t>
    </r>
    <r>
      <rPr>
        <sz val="14"/>
        <rFont val="Times New Roman"/>
        <family val="1"/>
      </rPr>
      <t>1</t>
    </r>
    <r>
      <rPr>
        <sz val="14"/>
        <rFont val="標楷體"/>
        <family val="4"/>
        <charset val="136"/>
      </rPr>
      <t>間，經</t>
    </r>
    <r>
      <rPr>
        <sz val="14"/>
        <rFont val="Times New Roman"/>
        <family val="1"/>
      </rPr>
      <t>110</t>
    </r>
    <r>
      <rPr>
        <sz val="14"/>
        <rFont val="標楷體"/>
        <family val="4"/>
        <charset val="136"/>
      </rPr>
      <t>學年度第</t>
    </r>
    <r>
      <rPr>
        <sz val="14"/>
        <rFont val="Times New Roman"/>
        <family val="1"/>
      </rPr>
      <t>1</t>
    </r>
    <r>
      <rPr>
        <sz val="14"/>
        <rFont val="標楷體"/>
        <family val="4"/>
        <charset val="136"/>
      </rPr>
      <t>次校務基金管理委員會同意編列</t>
    </r>
    <r>
      <rPr>
        <sz val="14"/>
        <rFont val="Times New Roman"/>
        <family val="1"/>
      </rPr>
      <t>3,696</t>
    </r>
    <r>
      <rPr>
        <sz val="14"/>
        <rFont val="標楷體"/>
        <family val="4"/>
        <charset val="136"/>
      </rPr>
      <t>千元。</t>
    </r>
    <phoneticPr fontId="2" type="noConversion"/>
  </si>
  <si>
    <t>惠蓀堂周邊人行地坪及坡道整修工程</t>
    <phoneticPr fontId="2" type="noConversion"/>
  </si>
  <si>
    <r>
      <rPr>
        <sz val="14"/>
        <rFont val="標楷體"/>
        <family val="4"/>
        <charset val="136"/>
      </rPr>
      <t>本校惠蓀堂周邊地坪已顯見有沉陷狀況，並有多處基礎掏空，除易造成地下層滲漏水，亦恐危及整體結構安全，擬辦理周邊整體地坪修繕及加固，維護使用者安全，經</t>
    </r>
    <r>
      <rPr>
        <sz val="14"/>
        <rFont val="Times New Roman"/>
        <family val="1"/>
      </rPr>
      <t>110</t>
    </r>
    <r>
      <rPr>
        <sz val="14"/>
        <rFont val="標楷體"/>
        <family val="4"/>
        <charset val="136"/>
      </rPr>
      <t>學年度第</t>
    </r>
    <r>
      <rPr>
        <sz val="14"/>
        <rFont val="Times New Roman"/>
        <family val="1"/>
      </rPr>
      <t>1</t>
    </r>
    <r>
      <rPr>
        <sz val="14"/>
        <rFont val="標楷體"/>
        <family val="4"/>
        <charset val="136"/>
      </rPr>
      <t>次校務基金管理委員會同意編列</t>
    </r>
    <r>
      <rPr>
        <sz val="14"/>
        <rFont val="Times New Roman"/>
        <family val="1"/>
      </rPr>
      <t>6,000</t>
    </r>
    <r>
      <rPr>
        <sz val="14"/>
        <rFont val="標楷體"/>
        <family val="4"/>
        <charset val="136"/>
      </rPr>
      <t>千元。</t>
    </r>
  </si>
  <si>
    <t>地下水分區管網及圖資系統建置</t>
    <phoneticPr fontId="2" type="noConversion"/>
  </si>
  <si>
    <t>各大樓火警受信總機連結至校門口駐警隊</t>
    <phoneticPr fontId="2" type="noConversion"/>
  </si>
  <si>
    <r>
      <t>108</t>
    </r>
    <r>
      <rPr>
        <sz val="14"/>
        <rFont val="標楷體"/>
        <family val="4"/>
        <charset val="136"/>
      </rPr>
      <t>至</t>
    </r>
    <r>
      <rPr>
        <sz val="14"/>
        <rFont val="Times New Roman"/>
        <family val="1"/>
      </rPr>
      <t>110</t>
    </r>
    <r>
      <rPr>
        <sz val="14"/>
        <rFont val="標楷體"/>
        <family val="4"/>
        <charset val="136"/>
      </rPr>
      <t>學年度第</t>
    </r>
    <r>
      <rPr>
        <sz val="14"/>
        <rFont val="Times New Roman"/>
        <family val="1"/>
      </rPr>
      <t>1</t>
    </r>
    <r>
      <rPr>
        <sz val="14"/>
        <rFont val="標楷體"/>
        <family val="4"/>
        <charset val="136"/>
      </rPr>
      <t>學期平均學生人數</t>
    </r>
    <r>
      <rPr>
        <sz val="14"/>
        <rFont val="Times New Roman"/>
        <family val="1"/>
      </rPr>
      <t>41</t>
    </r>
    <r>
      <rPr>
        <sz val="14"/>
        <rFont val="標楷體"/>
        <family val="4"/>
        <charset val="136"/>
      </rPr>
      <t>人。</t>
    </r>
    <phoneticPr fontId="2" type="noConversion"/>
  </si>
  <si>
    <t>綜合大樓清潔費</t>
    <phoneticPr fontId="12" type="noConversion"/>
  </si>
  <si>
    <t>F01</t>
    <phoneticPr fontId="12" type="noConversion"/>
  </si>
  <si>
    <t>綜大管委會</t>
    <phoneticPr fontId="12" type="noConversion"/>
  </si>
  <si>
    <r>
      <t>111</t>
    </r>
    <r>
      <rPr>
        <sz val="14"/>
        <rFont val="標楷體"/>
        <family val="4"/>
        <charset val="136"/>
      </rPr>
      <t>年度管委會由創產學院接辦。</t>
    </r>
    <phoneticPr fontId="2" type="noConversion"/>
  </si>
  <si>
    <t>興大二村推廣教室建置</t>
    <phoneticPr fontId="2" type="noConversion"/>
  </si>
  <si>
    <t>創新產業暨國際學院</t>
  </si>
  <si>
    <r>
      <rPr>
        <sz val="14"/>
        <rFont val="標楷體"/>
        <family val="4"/>
        <charset val="136"/>
      </rPr>
      <t>依</t>
    </r>
    <r>
      <rPr>
        <sz val="14"/>
        <rFont val="Times New Roman"/>
        <family val="1"/>
      </rPr>
      <t>95.10.25</t>
    </r>
    <r>
      <rPr>
        <sz val="14"/>
        <rFont val="標楷體"/>
        <family val="4"/>
        <charset val="136"/>
      </rPr>
      <t>本校第</t>
    </r>
    <r>
      <rPr>
        <sz val="14"/>
        <rFont val="Times New Roman"/>
        <family val="1"/>
      </rPr>
      <t>323</t>
    </r>
    <r>
      <rPr>
        <sz val="14"/>
        <rFont val="標楷體"/>
        <family val="4"/>
        <charset val="136"/>
      </rPr>
      <t>次行政會議第六案決議：請主計室在經費分配項目分別列出圖書費及儀器費，各系每年圖書費至少</t>
    </r>
    <r>
      <rPr>
        <sz val="14"/>
        <rFont val="Times New Roman"/>
        <family val="1"/>
      </rPr>
      <t>10</t>
    </r>
    <r>
      <rPr>
        <sz val="14"/>
        <rFont val="標楷體"/>
        <family val="4"/>
        <charset val="136"/>
      </rPr>
      <t>萬，各所每年圖書費至少</t>
    </r>
    <r>
      <rPr>
        <sz val="14"/>
        <rFont val="Times New Roman"/>
        <family val="1"/>
      </rPr>
      <t>5</t>
    </r>
    <r>
      <rPr>
        <sz val="14"/>
        <rFont val="標楷體"/>
        <family val="4"/>
        <charset val="136"/>
      </rPr>
      <t>萬，圖書費可流入不得流出。文學院</t>
    </r>
    <r>
      <rPr>
        <sz val="14"/>
        <rFont val="Times New Roman"/>
        <family val="1"/>
      </rPr>
      <t>3</t>
    </r>
    <r>
      <rPr>
        <sz val="14"/>
        <rFont val="標楷體"/>
        <family val="4"/>
        <charset val="136"/>
      </rPr>
      <t>系</t>
    </r>
    <r>
      <rPr>
        <sz val="14"/>
        <rFont val="Times New Roman"/>
        <family val="1"/>
      </rPr>
      <t>2</t>
    </r>
    <r>
      <rPr>
        <sz val="14"/>
        <rFont val="標楷體"/>
        <family val="4"/>
        <charset val="136"/>
      </rPr>
      <t>所提列</t>
    </r>
    <r>
      <rPr>
        <sz val="14"/>
        <rFont val="Times New Roman"/>
        <family val="1"/>
      </rPr>
      <t>40</t>
    </r>
    <r>
      <rPr>
        <sz val="14"/>
        <rFont val="標楷體"/>
        <family val="4"/>
        <charset val="136"/>
      </rPr>
      <t>萬、農資院</t>
    </r>
    <r>
      <rPr>
        <sz val="14"/>
        <rFont val="Times New Roman"/>
        <family val="1"/>
      </rPr>
      <t>11</t>
    </r>
    <r>
      <rPr>
        <sz val="14"/>
        <rFont val="標楷體"/>
        <family val="4"/>
        <charset val="136"/>
      </rPr>
      <t>系</t>
    </r>
    <r>
      <rPr>
        <sz val="14"/>
        <rFont val="Times New Roman"/>
        <family val="1"/>
      </rPr>
      <t>3</t>
    </r>
    <r>
      <rPr>
        <sz val="14"/>
        <rFont val="標楷體"/>
        <family val="4"/>
        <charset val="136"/>
      </rPr>
      <t>所</t>
    </r>
    <r>
      <rPr>
        <sz val="14"/>
        <rFont val="Times New Roman"/>
        <family val="1"/>
      </rPr>
      <t>125</t>
    </r>
    <r>
      <rPr>
        <sz val="14"/>
        <rFont val="標楷體"/>
        <family val="4"/>
        <charset val="136"/>
      </rPr>
      <t>萬、理學院</t>
    </r>
    <r>
      <rPr>
        <sz val="14"/>
        <rFont val="Times New Roman"/>
        <family val="1"/>
      </rPr>
      <t>3</t>
    </r>
    <r>
      <rPr>
        <sz val="14"/>
        <rFont val="標楷體"/>
        <family val="4"/>
        <charset val="136"/>
      </rPr>
      <t>系</t>
    </r>
    <r>
      <rPr>
        <sz val="14"/>
        <rFont val="Times New Roman"/>
        <family val="1"/>
      </rPr>
      <t>3</t>
    </r>
    <r>
      <rPr>
        <sz val="14"/>
        <rFont val="標楷體"/>
        <family val="4"/>
        <charset val="136"/>
      </rPr>
      <t>所</t>
    </r>
    <r>
      <rPr>
        <sz val="14"/>
        <rFont val="Times New Roman"/>
        <family val="1"/>
      </rPr>
      <t>45</t>
    </r>
    <r>
      <rPr>
        <sz val="14"/>
        <rFont val="標楷體"/>
        <family val="4"/>
        <charset val="136"/>
      </rPr>
      <t>萬、工學院</t>
    </r>
    <r>
      <rPr>
        <sz val="14"/>
        <rFont val="Times New Roman"/>
        <family val="1"/>
      </rPr>
      <t>5</t>
    </r>
    <r>
      <rPr>
        <sz val="14"/>
        <rFont val="標楷體"/>
        <family val="4"/>
        <charset val="136"/>
      </rPr>
      <t>系</t>
    </r>
    <r>
      <rPr>
        <sz val="14"/>
        <rFont val="Times New Roman"/>
        <family val="1"/>
      </rPr>
      <t>2</t>
    </r>
    <r>
      <rPr>
        <sz val="14"/>
        <rFont val="標楷體"/>
        <family val="4"/>
        <charset val="136"/>
      </rPr>
      <t>所</t>
    </r>
    <r>
      <rPr>
        <sz val="14"/>
        <rFont val="Times New Roman"/>
        <family val="1"/>
      </rPr>
      <t>60</t>
    </r>
    <r>
      <rPr>
        <sz val="14"/>
        <rFont val="標楷體"/>
        <family val="4"/>
        <charset val="136"/>
      </rPr>
      <t>萬、生科院</t>
    </r>
    <r>
      <rPr>
        <sz val="14"/>
        <rFont val="Times New Roman"/>
        <family val="1"/>
      </rPr>
      <t>1</t>
    </r>
    <r>
      <rPr>
        <sz val="14"/>
        <rFont val="標楷體"/>
        <family val="4"/>
        <charset val="136"/>
      </rPr>
      <t>系</t>
    </r>
    <r>
      <rPr>
        <sz val="14"/>
        <rFont val="Times New Roman"/>
        <family val="1"/>
      </rPr>
      <t>4</t>
    </r>
    <r>
      <rPr>
        <sz val="14"/>
        <rFont val="標楷體"/>
        <family val="4"/>
        <charset val="136"/>
      </rPr>
      <t>所</t>
    </r>
    <r>
      <rPr>
        <sz val="14"/>
        <rFont val="Times New Roman"/>
        <family val="1"/>
      </rPr>
      <t>30</t>
    </r>
    <r>
      <rPr>
        <sz val="14"/>
        <rFont val="標楷體"/>
        <family val="4"/>
        <charset val="136"/>
      </rPr>
      <t>萬、獸醫學院</t>
    </r>
    <r>
      <rPr>
        <sz val="14"/>
        <rFont val="Times New Roman"/>
        <family val="1"/>
      </rPr>
      <t>1</t>
    </r>
    <r>
      <rPr>
        <sz val="14"/>
        <rFont val="標楷體"/>
        <family val="4"/>
        <charset val="136"/>
      </rPr>
      <t>系</t>
    </r>
    <r>
      <rPr>
        <sz val="14"/>
        <rFont val="Times New Roman"/>
        <family val="1"/>
      </rPr>
      <t>2</t>
    </r>
    <r>
      <rPr>
        <sz val="14"/>
        <rFont val="標楷體"/>
        <family val="4"/>
        <charset val="136"/>
      </rPr>
      <t>所</t>
    </r>
    <r>
      <rPr>
        <sz val="14"/>
        <rFont val="Times New Roman"/>
        <family val="1"/>
      </rPr>
      <t>20</t>
    </r>
    <r>
      <rPr>
        <sz val="14"/>
        <rFont val="標楷體"/>
        <family val="4"/>
        <charset val="136"/>
      </rPr>
      <t>萬、管理學院</t>
    </r>
    <r>
      <rPr>
        <sz val="14"/>
        <rFont val="Times New Roman"/>
        <family val="1"/>
      </rPr>
      <t>5</t>
    </r>
    <r>
      <rPr>
        <sz val="14"/>
        <rFont val="標楷體"/>
        <family val="4"/>
        <charset val="136"/>
      </rPr>
      <t>系</t>
    </r>
    <r>
      <rPr>
        <sz val="14"/>
        <rFont val="Times New Roman"/>
        <family val="1"/>
      </rPr>
      <t>2</t>
    </r>
    <r>
      <rPr>
        <sz val="14"/>
        <rFont val="標楷體"/>
        <family val="4"/>
        <charset val="136"/>
      </rPr>
      <t>所</t>
    </r>
    <r>
      <rPr>
        <sz val="14"/>
        <rFont val="Times New Roman"/>
        <family val="1"/>
      </rPr>
      <t>60</t>
    </r>
    <r>
      <rPr>
        <sz val="14"/>
        <rFont val="標楷體"/>
        <family val="4"/>
        <charset val="136"/>
      </rPr>
      <t>萬、法政學院</t>
    </r>
    <r>
      <rPr>
        <sz val="14"/>
        <rFont val="Times New Roman"/>
        <family val="1"/>
      </rPr>
      <t>1</t>
    </r>
    <r>
      <rPr>
        <sz val="14"/>
        <rFont val="標楷體"/>
        <family val="4"/>
        <charset val="136"/>
      </rPr>
      <t>系</t>
    </r>
    <r>
      <rPr>
        <sz val="14"/>
        <rFont val="Times New Roman"/>
        <family val="1"/>
      </rPr>
      <t>3</t>
    </r>
    <r>
      <rPr>
        <sz val="14"/>
        <rFont val="標楷體"/>
        <family val="4"/>
        <charset val="136"/>
      </rPr>
      <t>所</t>
    </r>
    <r>
      <rPr>
        <sz val="14"/>
        <rFont val="Times New Roman"/>
        <family val="1"/>
      </rPr>
      <t>25</t>
    </r>
    <r>
      <rPr>
        <sz val="14"/>
        <rFont val="標楷體"/>
        <family val="4"/>
        <charset val="136"/>
      </rPr>
      <t>萬、電資學院</t>
    </r>
    <r>
      <rPr>
        <sz val="14"/>
        <rFont val="Times New Roman"/>
        <family val="1"/>
      </rPr>
      <t>2</t>
    </r>
    <r>
      <rPr>
        <sz val="14"/>
        <rFont val="標楷體"/>
        <family val="4"/>
        <charset val="136"/>
      </rPr>
      <t>系</t>
    </r>
    <r>
      <rPr>
        <sz val="14"/>
        <rFont val="Times New Roman"/>
        <family val="1"/>
      </rPr>
      <t>20</t>
    </r>
    <r>
      <rPr>
        <sz val="14"/>
        <rFont val="標楷體"/>
        <family val="4"/>
        <charset val="136"/>
      </rPr>
      <t>萬。</t>
    </r>
    <r>
      <rPr>
        <sz val="14"/>
        <rFont val="Times New Roman"/>
        <family val="1"/>
      </rPr>
      <t>(111</t>
    </r>
    <r>
      <rPr>
        <sz val="14"/>
        <rFont val="標楷體"/>
        <family val="4"/>
        <charset val="136"/>
      </rPr>
      <t>年度理學院新增科資所</t>
    </r>
    <r>
      <rPr>
        <sz val="14"/>
        <rFont val="Times New Roman"/>
        <family val="1"/>
      </rPr>
      <t>)</t>
    </r>
    <phoneticPr fontId="12" type="noConversion"/>
  </si>
  <si>
    <t>111年度需求數較110年度增加629千元，其中論文比對系統增加310千元，擬循110年模式，如T4持續補助則改由該計畫項下支應，餘由原分配總額內調整支應。</t>
    <phoneticPr fontId="12" type="noConversion"/>
  </si>
  <si>
    <t>強化生科醫學領域優質電子書資源計畫(110-112年)</t>
    <phoneticPr fontId="65" type="noConversion"/>
  </si>
  <si>
    <t>藝術類圖書與影音資源擴增計畫(110-112年)</t>
    <phoneticPr fontId="65" type="noConversion"/>
  </si>
  <si>
    <t>強化興大學術能見度-博碩士論文系統導入計畫</t>
    <phoneticPr fontId="65" type="noConversion"/>
  </si>
  <si>
    <r>
      <t>圖書館無線網路設備供電交換器提升申請計畫(</t>
    </r>
    <r>
      <rPr>
        <sz val="18"/>
        <rFont val="Times New Roman"/>
        <family val="1"/>
      </rPr>
      <t>111-112</t>
    </r>
    <r>
      <rPr>
        <sz val="18"/>
        <rFont val="新細明體"/>
        <family val="1"/>
        <charset val="136"/>
        <scheme val="minor"/>
      </rPr>
      <t>年)</t>
    </r>
    <phoneticPr fontId="65" type="noConversion"/>
  </si>
  <si>
    <r>
      <t>本校西文期刊館藏對師生投稿的支援度分析計畫(</t>
    </r>
    <r>
      <rPr>
        <sz val="18"/>
        <color indexed="8"/>
        <rFont val="Times New Roman"/>
        <family val="1"/>
      </rPr>
      <t>111-112</t>
    </r>
    <r>
      <rPr>
        <sz val="18"/>
        <color indexed="8"/>
        <rFont val="新細明體"/>
        <family val="1"/>
        <charset val="136"/>
        <scheme val="minor"/>
      </rPr>
      <t>年)</t>
    </r>
    <phoneticPr fontId="65" type="noConversion"/>
  </si>
  <si>
    <r>
      <rPr>
        <sz val="14"/>
        <rFont val="標楷體"/>
        <family val="4"/>
        <charset val="136"/>
      </rPr>
      <t>依大學社會責任</t>
    </r>
    <r>
      <rPr>
        <sz val="14"/>
        <rFont val="Times New Roman"/>
        <family val="1"/>
      </rPr>
      <t>USR</t>
    </r>
    <r>
      <rPr>
        <sz val="14"/>
        <rFont val="標楷體"/>
        <family val="4"/>
        <charset val="136"/>
      </rPr>
      <t>經費討論會議決議，本校</t>
    </r>
    <r>
      <rPr>
        <sz val="14"/>
        <rFont val="Times New Roman"/>
        <family val="1"/>
      </rPr>
      <t>109-111</t>
    </r>
    <r>
      <rPr>
        <sz val="14"/>
        <rFont val="標楷體"/>
        <family val="4"/>
        <charset val="136"/>
      </rPr>
      <t>年每年度需編列</t>
    </r>
    <r>
      <rPr>
        <sz val="14"/>
        <rFont val="Times New Roman"/>
        <family val="1"/>
      </rPr>
      <t>4,580</t>
    </r>
    <r>
      <rPr>
        <sz val="14"/>
        <rFont val="標楷體"/>
        <family val="4"/>
        <charset val="136"/>
      </rPr>
      <t>千元配合款</t>
    </r>
    <phoneticPr fontId="2" type="noConversion"/>
  </si>
  <si>
    <t>J02</t>
    <phoneticPr fontId="12" type="noConversion"/>
  </si>
  <si>
    <t>J01</t>
    <phoneticPr fontId="12" type="noConversion"/>
  </si>
  <si>
    <t>興大校友APP維護及資安認證</t>
    <phoneticPr fontId="65" type="noConversion"/>
  </si>
  <si>
    <r>
      <rPr>
        <sz val="14"/>
        <rFont val="標楷體"/>
        <family val="4"/>
        <charset val="136"/>
      </rPr>
      <t>本校「師資培育評鑑」屬自評，於</t>
    </r>
    <r>
      <rPr>
        <sz val="14"/>
        <rFont val="Times New Roman"/>
        <family val="1"/>
      </rPr>
      <t>111</t>
    </r>
    <r>
      <rPr>
        <sz val="14"/>
        <rFont val="標楷體"/>
        <family val="4"/>
        <charset val="136"/>
      </rPr>
      <t>年</t>
    </r>
    <r>
      <rPr>
        <sz val="14"/>
        <rFont val="Times New Roman"/>
        <family val="1"/>
      </rPr>
      <t>9</t>
    </r>
    <r>
      <rPr>
        <sz val="14"/>
        <rFont val="標楷體"/>
        <family val="4"/>
        <charset val="136"/>
      </rPr>
      <t>月前需將「師資培育評鑑」結果送高教評鑑中心審查，擬請同意</t>
    </r>
    <r>
      <rPr>
        <sz val="14"/>
        <rFont val="Times New Roman"/>
        <family val="1"/>
      </rPr>
      <t>109</t>
    </r>
    <r>
      <rPr>
        <sz val="14"/>
        <rFont val="標楷體"/>
        <family val="4"/>
        <charset val="136"/>
      </rPr>
      <t>年至</t>
    </r>
    <r>
      <rPr>
        <sz val="14"/>
        <rFont val="Times New Roman"/>
        <family val="1"/>
      </rPr>
      <t>111</t>
    </r>
    <r>
      <rPr>
        <sz val="14"/>
        <rFont val="標楷體"/>
        <family val="4"/>
        <charset val="136"/>
      </rPr>
      <t>年新增專項經費</t>
    </r>
    <r>
      <rPr>
        <sz val="14"/>
        <rFont val="Times New Roman"/>
        <family val="1"/>
      </rPr>
      <t>323,415</t>
    </r>
    <r>
      <rPr>
        <sz val="14"/>
        <rFont val="標楷體"/>
        <family val="4"/>
        <charset val="136"/>
      </rPr>
      <t>元</t>
    </r>
    <r>
      <rPr>
        <sz val="14"/>
        <rFont val="Times New Roman"/>
        <family val="1"/>
      </rPr>
      <t>(109</t>
    </r>
    <r>
      <rPr>
        <sz val="14"/>
        <rFont val="標楷體"/>
        <family val="4"/>
        <charset val="136"/>
      </rPr>
      <t>年度</t>
    </r>
    <r>
      <rPr>
        <sz val="14"/>
        <rFont val="Times New Roman"/>
        <family val="1"/>
      </rPr>
      <t>30,000</t>
    </r>
    <r>
      <rPr>
        <sz val="14"/>
        <rFont val="標楷體"/>
        <family val="4"/>
        <charset val="136"/>
      </rPr>
      <t>元、</t>
    </r>
    <r>
      <rPr>
        <sz val="14"/>
        <rFont val="Times New Roman"/>
        <family val="1"/>
      </rPr>
      <t>110</t>
    </r>
    <r>
      <rPr>
        <sz val="14"/>
        <rFont val="標楷體"/>
        <family val="4"/>
        <charset val="136"/>
      </rPr>
      <t>年度</t>
    </r>
    <r>
      <rPr>
        <sz val="14"/>
        <rFont val="Times New Roman"/>
        <family val="1"/>
      </rPr>
      <t>107,805</t>
    </r>
    <r>
      <rPr>
        <sz val="14"/>
        <rFont val="標楷體"/>
        <family val="4"/>
        <charset val="136"/>
      </rPr>
      <t>元、</t>
    </r>
    <r>
      <rPr>
        <sz val="14"/>
        <rFont val="Times New Roman"/>
        <family val="1"/>
      </rPr>
      <t>111</t>
    </r>
    <r>
      <rPr>
        <sz val="14"/>
        <rFont val="標楷體"/>
        <family val="4"/>
        <charset val="136"/>
      </rPr>
      <t>年度</t>
    </r>
    <r>
      <rPr>
        <sz val="14"/>
        <rFont val="Times New Roman"/>
        <family val="1"/>
      </rPr>
      <t>185,610</t>
    </r>
    <r>
      <rPr>
        <sz val="14"/>
        <rFont val="標楷體"/>
        <family val="4"/>
        <charset val="136"/>
      </rPr>
      <t>元</t>
    </r>
    <r>
      <rPr>
        <sz val="14"/>
        <rFont val="Times New Roman"/>
        <family val="1"/>
      </rPr>
      <t>)</t>
    </r>
    <r>
      <rPr>
        <sz val="14"/>
        <rFont val="標楷體"/>
        <family val="4"/>
        <charset val="136"/>
      </rPr>
      <t>。</t>
    </r>
    <phoneticPr fontId="2" type="noConversion"/>
  </si>
  <si>
    <t>依本校研發成果管理運用辦法第5條第3款規定，本校至少需負擔專利費用之60%；預估111年度需由學校支應專利維護年費約210萬元及申請、答辯費與領證費等相關費用約350萬元，合計560萬元。扣除高教深耕計畫補助300萬元及校行政管理費補助100萬元後，仍需160萬元。</t>
    <phoneticPr fontId="12" type="noConversion"/>
  </si>
  <si>
    <r>
      <t>111</t>
    </r>
    <r>
      <rPr>
        <sz val="14"/>
        <color theme="1"/>
        <rFont val="標楷體"/>
        <family val="4"/>
        <charset val="136"/>
      </rPr>
      <t>年度</t>
    </r>
    <r>
      <rPr>
        <sz val="14"/>
        <color theme="1"/>
        <rFont val="Times New Roman"/>
        <family val="4"/>
      </rPr>
      <t xml:space="preserve">
</t>
    </r>
    <r>
      <rPr>
        <sz val="14"/>
        <color theme="1"/>
        <rFont val="標楷體"/>
        <family val="4"/>
        <charset val="136"/>
      </rPr>
      <t>分配數</t>
    </r>
    <r>
      <rPr>
        <sz val="14"/>
        <color theme="1"/>
        <rFont val="Times New Roman"/>
        <family val="4"/>
      </rPr>
      <t xml:space="preserve">
</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</si>
  <si>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111</t>
    </r>
    <r>
      <rPr>
        <sz val="14"/>
        <color theme="1"/>
        <rFont val="標楷體"/>
        <family val="4"/>
        <charset val="136"/>
      </rPr>
      <t xml:space="preserve">年度
決標數
</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</si>
  <si>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112</t>
    </r>
    <r>
      <rPr>
        <sz val="14"/>
        <color theme="1"/>
        <rFont val="標楷體"/>
        <family val="4"/>
        <charset val="136"/>
      </rPr>
      <t xml:space="preserve">年度
預計需求數
</t>
    </r>
    <r>
      <rPr>
        <sz val="14"/>
        <color theme="1"/>
        <rFont val="Times New Roman"/>
        <family val="1"/>
      </rPr>
      <t>(</t>
    </r>
    <r>
      <rPr>
        <sz val="14"/>
        <color theme="1"/>
        <rFont val="標楷體"/>
        <family val="4"/>
        <charset val="136"/>
      </rPr>
      <t>千元</t>
    </r>
    <r>
      <rPr>
        <sz val="14"/>
        <color theme="1"/>
        <rFont val="Times New Roman"/>
        <family val="1"/>
      </rPr>
      <t>)</t>
    </r>
    <phoneticPr fontId="2" type="noConversion"/>
  </si>
  <si>
    <r>
      <t>111</t>
    </r>
    <r>
      <rPr>
        <b/>
        <sz val="14"/>
        <color theme="1"/>
        <rFont val="標楷體"/>
        <family val="4"/>
        <charset val="136"/>
      </rPr>
      <t>年度分配經費項目</t>
    </r>
    <phoneticPr fontId="2" type="noConversion"/>
  </si>
  <si>
    <r>
      <t>112</t>
    </r>
    <r>
      <rPr>
        <sz val="12"/>
        <color rgb="FFFF0000"/>
        <rFont val="標楷體"/>
        <family val="4"/>
        <charset val="136"/>
      </rPr>
      <t>年度預計需求數合計以不超過</t>
    </r>
    <r>
      <rPr>
        <sz val="12"/>
        <color rgb="FFFF0000"/>
        <rFont val="Times New Roman"/>
        <family val="1"/>
      </rPr>
      <t>111</t>
    </r>
    <r>
      <rPr>
        <sz val="12"/>
        <color rgb="FFFF0000"/>
        <rFont val="標楷體"/>
        <family val="4"/>
        <charset val="136"/>
      </rPr>
      <t>年度分配數合計為原則，如須超過請於說明欄填列具體事由及</t>
    </r>
    <r>
      <rPr>
        <sz val="12"/>
        <color rgb="FFFF0000"/>
        <rFont val="Times New Roman"/>
        <family val="1"/>
      </rPr>
      <t>111</t>
    </r>
    <r>
      <rPr>
        <sz val="12"/>
        <color rgb="FFFF0000"/>
        <rFont val="標楷體"/>
        <family val="4"/>
        <charset val="136"/>
      </rPr>
      <t>年度執行狀況。</t>
    </r>
    <phoneticPr fontId="2" type="noConversion"/>
  </si>
  <si>
    <r>
      <t>112</t>
    </r>
    <r>
      <rPr>
        <b/>
        <sz val="14"/>
        <color theme="1"/>
        <rFont val="標楷體"/>
        <family val="4"/>
        <charset val="136"/>
      </rPr>
      <t>年度新增專項需求項目</t>
    </r>
    <phoneticPr fontId="2" type="noConversion"/>
  </si>
  <si>
    <r>
      <t>111</t>
    </r>
    <r>
      <rPr>
        <sz val="14"/>
        <color rgb="FF0070C0"/>
        <rFont val="標楷體"/>
        <family val="4"/>
        <charset val="136"/>
      </rPr>
      <t>年</t>
    </r>
    <r>
      <rPr>
        <sz val="14"/>
        <color rgb="FF0070C0"/>
        <rFont val="Times New Roman"/>
        <family val="1"/>
      </rPr>
      <t>**</t>
    </r>
    <r>
      <rPr>
        <sz val="14"/>
        <color rgb="FF0070C0"/>
        <rFont val="標楷體"/>
        <family val="4"/>
        <charset val="136"/>
      </rPr>
      <t>月</t>
    </r>
    <r>
      <rPr>
        <sz val="14"/>
        <color rgb="FF0070C0"/>
        <rFont val="Times New Roman"/>
        <family val="1"/>
      </rPr>
      <t>**</t>
    </r>
    <r>
      <rPr>
        <sz val="14"/>
        <color rgb="FF0070C0"/>
        <rFont val="標楷體"/>
        <family val="4"/>
        <charset val="136"/>
      </rPr>
      <t>日第</t>
    </r>
    <r>
      <rPr>
        <sz val="14"/>
        <color rgb="FF0070C0"/>
        <rFont val="Times New Roman"/>
        <family val="1"/>
      </rPr>
      <t>**********</t>
    </r>
    <r>
      <rPr>
        <sz val="14"/>
        <color rgb="FF0070C0"/>
        <rFont val="標楷體"/>
        <family val="4"/>
        <charset val="136"/>
      </rPr>
      <t>號簽奉核可提送分配會議討論。</t>
    </r>
    <phoneticPr fontId="2" type="noConversion"/>
  </si>
  <si>
    <r>
      <rPr>
        <sz val="14"/>
        <color theme="1"/>
        <rFont val="標楷體"/>
        <family val="4"/>
        <charset val="136"/>
      </rPr>
      <t>備註：表一為執行年度分配經費之例行性項目，如有非例行性且年度分配預算不足支應，須於</t>
    </r>
    <r>
      <rPr>
        <sz val="14"/>
        <color theme="1"/>
        <rFont val="Times New Roman"/>
        <family val="1"/>
      </rPr>
      <t>112</t>
    </r>
    <r>
      <rPr>
        <sz val="14"/>
        <color theme="1"/>
        <rFont val="標楷體"/>
        <family val="4"/>
        <charset val="136"/>
      </rPr>
      <t xml:space="preserve">年度新增經費之專項需求項目，則請填列於表二。
</t>
    </r>
    <r>
      <rPr>
        <sz val="14"/>
        <color theme="1"/>
        <rFont val="Times New Roman"/>
        <family val="1"/>
      </rPr>
      <t xml:space="preserve">            </t>
    </r>
    <r>
      <rPr>
        <sz val="14"/>
        <color theme="1"/>
        <rFont val="標楷體"/>
        <family val="4"/>
        <charset val="136"/>
      </rPr>
      <t>表二所列項目仍請於本調查期限內</t>
    </r>
    <r>
      <rPr>
        <sz val="14"/>
        <color theme="1"/>
        <rFont val="Times New Roman"/>
        <family val="1"/>
      </rPr>
      <t>(11</t>
    </r>
    <r>
      <rPr>
        <sz val="14"/>
        <color theme="1"/>
        <rFont val="標楷體"/>
        <family val="4"/>
        <charset val="136"/>
      </rPr>
      <t>月</t>
    </r>
    <r>
      <rPr>
        <sz val="14"/>
        <color theme="1"/>
        <rFont val="Times New Roman"/>
        <family val="1"/>
      </rPr>
      <t>4</t>
    </r>
    <r>
      <rPr>
        <sz val="14"/>
        <color theme="1"/>
        <rFont val="標楷體"/>
        <family val="4"/>
        <charset val="136"/>
      </rPr>
      <t>日前</t>
    </r>
    <r>
      <rPr>
        <sz val="14"/>
        <color theme="1"/>
        <rFont val="Times New Roman"/>
        <family val="1"/>
      </rPr>
      <t>)</t>
    </r>
    <r>
      <rPr>
        <sz val="14"/>
        <color theme="1"/>
        <rFont val="標楷體"/>
        <family val="4"/>
        <charset val="136"/>
      </rPr>
      <t>另以專簽提出，影本送本室</t>
    </r>
    <r>
      <rPr>
        <sz val="14"/>
        <color theme="1"/>
        <rFont val="Times New Roman"/>
        <family val="1"/>
      </rPr>
      <t>1</t>
    </r>
    <r>
      <rPr>
        <sz val="14"/>
        <color theme="1"/>
        <rFont val="標楷體"/>
        <family val="4"/>
        <charset val="136"/>
      </rPr>
      <t xml:space="preserve">份，俾提至預算分配會議討論。
</t>
    </r>
    <r>
      <rPr>
        <sz val="14"/>
        <color theme="1"/>
        <rFont val="Times New Roman"/>
        <family val="1"/>
      </rPr>
      <t xml:space="preserve">            </t>
    </r>
    <r>
      <rPr>
        <b/>
        <sz val="14"/>
        <color rgb="FFFF0000"/>
        <rFont val="標楷體"/>
        <family val="4"/>
        <charset val="136"/>
      </rPr>
      <t>經費需求若屬多年，請註明經費需求年度</t>
    </r>
    <r>
      <rPr>
        <b/>
        <sz val="14"/>
        <color rgb="FFFF0000"/>
        <rFont val="Times New Roman"/>
        <family val="1"/>
      </rPr>
      <t>(ex</t>
    </r>
    <r>
      <rPr>
        <b/>
        <sz val="14"/>
        <color rgb="FFFF0000"/>
        <rFont val="標楷體"/>
        <family val="4"/>
        <charset val="136"/>
      </rPr>
      <t>：</t>
    </r>
    <r>
      <rPr>
        <b/>
        <sz val="14"/>
        <color rgb="FFFF0000"/>
        <rFont val="Times New Roman"/>
        <family val="1"/>
      </rPr>
      <t>109~111</t>
    </r>
    <r>
      <rPr>
        <b/>
        <sz val="14"/>
        <color rgb="FFFF0000"/>
        <rFont val="標楷體"/>
        <family val="4"/>
        <charset val="136"/>
      </rPr>
      <t>年</t>
    </r>
    <r>
      <rPr>
        <b/>
        <sz val="14"/>
        <color rgb="FFFF0000"/>
        <rFont val="Times New Roman"/>
        <family val="1"/>
      </rPr>
      <t>)</t>
    </r>
    <r>
      <rPr>
        <b/>
        <sz val="14"/>
        <color rgb="FFFF0000"/>
        <rFont val="標楷體"/>
        <family val="4"/>
        <charset val="136"/>
      </rPr>
      <t>。</t>
    </r>
    <phoneticPr fontId="2" type="noConversion"/>
  </si>
  <si>
    <r>
      <rPr>
        <sz val="14"/>
        <rFont val="標楷體"/>
        <family val="4"/>
        <charset val="136"/>
      </rPr>
      <t>本校為配合行政院推動</t>
    </r>
    <r>
      <rPr>
        <sz val="14"/>
        <rFont val="Times New Roman"/>
        <family val="1"/>
      </rPr>
      <t>2030</t>
    </r>
    <r>
      <rPr>
        <sz val="14"/>
        <rFont val="標楷體"/>
        <family val="4"/>
        <charset val="136"/>
      </rPr>
      <t>年雙語國家政策，自</t>
    </r>
    <r>
      <rPr>
        <sz val="14"/>
        <rFont val="Times New Roman"/>
        <family val="1"/>
      </rPr>
      <t>110</t>
    </r>
    <r>
      <rPr>
        <sz val="14"/>
        <rFont val="標楷體"/>
        <family val="4"/>
        <charset val="136"/>
      </rPr>
      <t>年</t>
    </r>
    <r>
      <rPr>
        <sz val="14"/>
        <rFont val="Times New Roman"/>
        <family val="1"/>
      </rPr>
      <t>8</t>
    </r>
    <r>
      <rPr>
        <sz val="14"/>
        <rFont val="標楷體"/>
        <family val="4"/>
        <charset val="136"/>
      </rPr>
      <t>月起於教務處下設立「雙語教學推動資源中心」（簡稱</t>
    </r>
    <r>
      <rPr>
        <sz val="14"/>
        <rFont val="Times New Roman"/>
        <family val="1"/>
      </rPr>
      <t>EMI</t>
    </r>
    <r>
      <rPr>
        <sz val="14"/>
        <rFont val="標楷體"/>
        <family val="4"/>
        <charset val="136"/>
      </rPr>
      <t>中心），以綜理推動校內英語授課、強化教師英語授課能量及提供學生學習輔導等業務，為辦理該中心相關業務推動，自</t>
    </r>
    <r>
      <rPr>
        <sz val="14"/>
        <rFont val="Times New Roman"/>
        <family val="1"/>
      </rPr>
      <t>111</t>
    </r>
    <r>
      <rPr>
        <sz val="14"/>
        <rFont val="標楷體"/>
        <family val="4"/>
        <charset val="136"/>
      </rPr>
      <t>年度起新增業務費</t>
    </r>
    <r>
      <rPr>
        <sz val="14"/>
        <rFont val="Times New Roman"/>
        <family val="1"/>
      </rPr>
      <t>400</t>
    </r>
    <r>
      <rPr>
        <sz val="14"/>
        <rFont val="標楷體"/>
        <family val="4"/>
        <charset val="136"/>
      </rPr>
      <t>千元及設備費</t>
    </r>
    <r>
      <rPr>
        <sz val="14"/>
        <rFont val="Times New Roman"/>
        <family val="1"/>
      </rPr>
      <t>100</t>
    </r>
    <r>
      <rPr>
        <sz val="14"/>
        <rFont val="標楷體"/>
        <family val="4"/>
        <charset val="136"/>
      </rPr>
      <t>千元。</t>
    </r>
    <phoneticPr fontId="2" type="noConversion"/>
  </si>
  <si>
    <r>
      <t>1.</t>
    </r>
    <r>
      <rPr>
        <sz val="14"/>
        <rFont val="標楷體"/>
        <family val="4"/>
        <charset val="136"/>
      </rPr>
      <t>依本校</t>
    </r>
    <r>
      <rPr>
        <sz val="14"/>
        <rFont val="Times New Roman"/>
        <family val="1"/>
      </rPr>
      <t>107</t>
    </r>
    <r>
      <rPr>
        <sz val="14"/>
        <rFont val="標楷體"/>
        <family val="4"/>
        <charset val="136"/>
      </rPr>
      <t>年</t>
    </r>
    <r>
      <rPr>
        <sz val="14"/>
        <rFont val="Times New Roman"/>
        <family val="1"/>
      </rPr>
      <t>7</t>
    </r>
    <r>
      <rPr>
        <sz val="14"/>
        <rFont val="標楷體"/>
        <family val="4"/>
        <charset val="136"/>
      </rPr>
      <t>月</t>
    </r>
    <r>
      <rPr>
        <sz val="14"/>
        <rFont val="Times New Roman"/>
        <family val="1"/>
      </rPr>
      <t>18</t>
    </r>
    <r>
      <rPr>
        <sz val="14"/>
        <rFont val="標楷體"/>
        <family val="4"/>
        <charset val="136"/>
      </rPr>
      <t>日「學雜費調整審議及決策小組第二次會議」決議，支用計畫每學年度可支用金額為</t>
    </r>
    <r>
      <rPr>
        <sz val="14"/>
        <rFont val="Times New Roman"/>
        <family val="1"/>
      </rPr>
      <t>12,800</t>
    </r>
    <r>
      <rPr>
        <sz val="14"/>
        <rFont val="標楷體"/>
        <family val="4"/>
        <charset val="136"/>
      </rPr>
      <t xml:space="preserve">千元，並將專款專用於各支用項目，增收經費不足部分由學校自籌款支應。
</t>
    </r>
    <r>
      <rPr>
        <sz val="14"/>
        <rFont val="Times New Roman"/>
        <family val="1"/>
      </rPr>
      <t>2.</t>
    </r>
    <r>
      <rPr>
        <sz val="14"/>
        <rFont val="標楷體"/>
        <family val="4"/>
        <charset val="136"/>
      </rPr>
      <t>支用項目包含</t>
    </r>
    <r>
      <rPr>
        <sz val="14"/>
        <rFont val="Times New Roman"/>
        <family val="1"/>
      </rPr>
      <t>(1)</t>
    </r>
    <r>
      <rPr>
        <sz val="14"/>
        <rFont val="標楷體"/>
        <family val="4"/>
        <charset val="136"/>
      </rPr>
      <t>圖書期刊</t>
    </r>
    <r>
      <rPr>
        <sz val="14"/>
        <rFont val="Times New Roman"/>
        <family val="1"/>
      </rPr>
      <t>4,000</t>
    </r>
    <r>
      <rPr>
        <sz val="14"/>
        <rFont val="標楷體"/>
        <family val="4"/>
        <charset val="136"/>
      </rPr>
      <t>千元、</t>
    </r>
    <r>
      <rPr>
        <sz val="14"/>
        <rFont val="Times New Roman"/>
        <family val="1"/>
      </rPr>
      <t>(2)</t>
    </r>
    <r>
      <rPr>
        <sz val="14"/>
        <rFont val="標楷體"/>
        <family val="4"/>
        <charset val="136"/>
      </rPr>
      <t>社團空間、設備及使用維護</t>
    </r>
    <r>
      <rPr>
        <sz val="14"/>
        <rFont val="Times New Roman"/>
        <family val="1"/>
      </rPr>
      <t>3,480</t>
    </r>
    <r>
      <rPr>
        <sz val="14"/>
        <rFont val="標楷體"/>
        <family val="4"/>
        <charset val="136"/>
      </rPr>
      <t>千元、</t>
    </r>
    <r>
      <rPr>
        <sz val="14"/>
        <rFont val="Times New Roman"/>
        <family val="1"/>
      </rPr>
      <t>(3)</t>
    </r>
    <r>
      <rPr>
        <sz val="14"/>
        <rFont val="標楷體"/>
        <family val="4"/>
        <charset val="136"/>
      </rPr>
      <t>大型學生活動經費補助</t>
    </r>
    <r>
      <rPr>
        <sz val="14"/>
        <rFont val="Times New Roman"/>
        <family val="1"/>
      </rPr>
      <t>1,330</t>
    </r>
    <r>
      <rPr>
        <sz val="14"/>
        <rFont val="標楷體"/>
        <family val="4"/>
        <charset val="136"/>
      </rPr>
      <t>千元、</t>
    </r>
    <r>
      <rPr>
        <sz val="14"/>
        <rFont val="Times New Roman"/>
        <family val="1"/>
      </rPr>
      <t>(4)</t>
    </r>
    <r>
      <rPr>
        <sz val="14"/>
        <rFont val="標楷體"/>
        <family val="4"/>
        <charset val="136"/>
      </rPr>
      <t>增加學生生活助學金</t>
    </r>
    <r>
      <rPr>
        <sz val="14"/>
        <rFont val="Times New Roman"/>
        <family val="1"/>
      </rPr>
      <t>1,330</t>
    </r>
    <r>
      <rPr>
        <sz val="14"/>
        <rFont val="標楷體"/>
        <family val="4"/>
        <charset val="136"/>
      </rPr>
      <t>千元、</t>
    </r>
    <r>
      <rPr>
        <sz val="14"/>
        <rFont val="Times New Roman"/>
        <family val="1"/>
      </rPr>
      <t>(5)</t>
    </r>
    <r>
      <rPr>
        <sz val="14"/>
        <rFont val="標楷體"/>
        <family val="4"/>
        <charset val="136"/>
      </rPr>
      <t>綜合教學大樓教室維護</t>
    </r>
    <r>
      <rPr>
        <sz val="14"/>
        <rFont val="Times New Roman"/>
        <family val="1"/>
      </rPr>
      <t>1,330</t>
    </r>
    <r>
      <rPr>
        <sz val="14"/>
        <rFont val="標楷體"/>
        <family val="4"/>
        <charset val="136"/>
      </rPr>
      <t>千元、</t>
    </r>
    <r>
      <rPr>
        <sz val="14"/>
        <rFont val="Times New Roman"/>
        <family val="1"/>
      </rPr>
      <t>(6)</t>
    </r>
    <r>
      <rPr>
        <sz val="14"/>
        <rFont val="標楷體"/>
        <family val="4"/>
        <charset val="136"/>
      </rPr>
      <t>體育設施維護</t>
    </r>
    <r>
      <rPr>
        <sz val="14"/>
        <rFont val="Times New Roman"/>
        <family val="1"/>
      </rPr>
      <t>1,330</t>
    </r>
    <r>
      <rPr>
        <sz val="14"/>
        <rFont val="標楷體"/>
        <family val="4"/>
        <charset val="136"/>
      </rPr>
      <t>千元。</t>
    </r>
    <phoneticPr fontId="12" type="noConversion"/>
  </si>
  <si>
    <r>
      <rPr>
        <sz val="14"/>
        <rFont val="標楷體"/>
        <family val="4"/>
        <charset val="136"/>
      </rPr>
      <t>本校建校百年，地下水管路圖資與現況不盡相同，對漏水搶修及停水作業影響甚大，急需建立正確地下水管路圖資，以掌握校區地下水用水管路，及降低停水影響範圍。本案預計建置地下水分區管網及裝設地下水水錶，記錄各分區地下水用水數據，所需經費</t>
    </r>
    <r>
      <rPr>
        <sz val="14"/>
        <rFont val="Times New Roman"/>
        <family val="1"/>
      </rPr>
      <t>2,967</t>
    </r>
    <r>
      <rPr>
        <sz val="14"/>
        <rFont val="標楷體"/>
        <family val="4"/>
        <charset val="136"/>
      </rPr>
      <t>千元。</t>
    </r>
    <phoneticPr fontId="2" type="noConversion"/>
  </si>
  <si>
    <r>
      <rPr>
        <sz val="14"/>
        <rFont val="標楷體"/>
        <family val="4"/>
        <charset val="136"/>
      </rPr>
      <t>本校建築物散佈於校園各處，各大樓發生火警警報時，需以人工方式通報位置，不僅費時且無法在第一時間處理，若於下班時間或假日，無人即時發現與通報，恐將造成火災重大財產損害，甚至人員傷亡風險，須建置火警自動通報系統，以提升通報效率。本案預計建置校本部各大樓火警受信總機，自動通報火警警報至校門口駐警隊，建立</t>
    </r>
    <r>
      <rPr>
        <sz val="14"/>
        <rFont val="Times New Roman"/>
        <family val="1"/>
      </rPr>
      <t>24</t>
    </r>
    <r>
      <rPr>
        <sz val="14"/>
        <rFont val="標楷體"/>
        <family val="4"/>
        <charset val="136"/>
      </rPr>
      <t>小時即時通報系統，所需經費</t>
    </r>
    <r>
      <rPr>
        <sz val="14"/>
        <rFont val="Times New Roman"/>
        <family val="1"/>
      </rPr>
      <t>2,494</t>
    </r>
    <r>
      <rPr>
        <sz val="14"/>
        <rFont val="標楷體"/>
        <family val="4"/>
        <charset val="136"/>
      </rPr>
      <t>千元。</t>
    </r>
    <phoneticPr fontId="2" type="noConversion"/>
  </si>
  <si>
    <r>
      <rPr>
        <sz val="14"/>
        <rFont val="標楷體"/>
        <family val="4"/>
        <charset val="136"/>
      </rPr>
      <t>本校</t>
    </r>
    <r>
      <rPr>
        <sz val="14"/>
        <rFont val="Times New Roman"/>
        <family val="1"/>
      </rPr>
      <t>110</t>
    </r>
    <r>
      <rPr>
        <sz val="14"/>
        <rFont val="標楷體"/>
        <family val="4"/>
        <charset val="136"/>
      </rPr>
      <t>年度獲教育部多項計畫經費，經學術經費審查會議核定</t>
    </r>
    <r>
      <rPr>
        <sz val="14"/>
        <rFont val="Times New Roman"/>
        <family val="1"/>
      </rPr>
      <t>20</t>
    </r>
    <r>
      <rPr>
        <sz val="14"/>
        <rFont val="標楷體"/>
        <family val="4"/>
        <charset val="136"/>
      </rPr>
      <t>件計畫，計補助</t>
    </r>
    <r>
      <rPr>
        <sz val="14"/>
        <rFont val="Times New Roman"/>
        <family val="1"/>
      </rPr>
      <t>8,316,762</t>
    </r>
    <r>
      <rPr>
        <sz val="14"/>
        <rFont val="標楷體"/>
        <family val="4"/>
        <charset val="136"/>
      </rPr>
      <t>元，已逾</t>
    </r>
    <r>
      <rPr>
        <sz val="14"/>
        <rFont val="Times New Roman"/>
        <family val="1"/>
      </rPr>
      <t>110</t>
    </r>
    <r>
      <rPr>
        <sz val="14"/>
        <rFont val="標楷體"/>
        <family val="4"/>
        <charset val="136"/>
      </rPr>
      <t>年經費分配額度</t>
    </r>
    <r>
      <rPr>
        <sz val="14"/>
        <rFont val="Times New Roman"/>
        <family val="1"/>
      </rPr>
      <t>7,289</t>
    </r>
    <r>
      <rPr>
        <sz val="14"/>
        <rFont val="標楷體"/>
        <family val="4"/>
        <charset val="136"/>
      </rPr>
      <t>千元，且尚有教育部學海系列計畫及大專校院學生雙語化學習計畫配合款計</t>
    </r>
    <r>
      <rPr>
        <sz val="14"/>
        <rFont val="Times New Roman"/>
        <family val="1"/>
      </rPr>
      <t>2,100</t>
    </r>
    <r>
      <rPr>
        <sz val="14"/>
        <rFont val="標楷體"/>
        <family val="4"/>
        <charset val="136"/>
      </rPr>
      <t>千元需補助，故</t>
    </r>
    <r>
      <rPr>
        <sz val="14"/>
        <rFont val="Times New Roman"/>
        <family val="1"/>
      </rPr>
      <t>111</t>
    </r>
    <r>
      <rPr>
        <sz val="14"/>
        <rFont val="標楷體"/>
        <family val="4"/>
        <charset val="136"/>
      </rPr>
      <t>年度新執行政府計畫配合款計畫</t>
    </r>
    <r>
      <rPr>
        <sz val="14"/>
        <rFont val="Times New Roman"/>
        <family val="1"/>
      </rPr>
      <t>(111TE01)</t>
    </r>
    <r>
      <rPr>
        <sz val="14"/>
        <rFont val="標楷體"/>
        <family val="4"/>
        <charset val="136"/>
      </rPr>
      <t>新增經常門經費</t>
    </r>
    <r>
      <rPr>
        <sz val="14"/>
        <rFont val="Times New Roman"/>
        <family val="1"/>
      </rPr>
      <t>2,000</t>
    </r>
    <r>
      <rPr>
        <sz val="14"/>
        <rFont val="標楷體"/>
        <family val="4"/>
        <charset val="136"/>
      </rPr>
      <t>千元，以利計畫推展。</t>
    </r>
    <phoneticPr fontId="65" type="noConversion"/>
  </si>
  <si>
    <r>
      <rPr>
        <sz val="14"/>
        <rFont val="標楷體"/>
        <family val="4"/>
        <charset val="136"/>
      </rPr>
      <t>為規劃拓展興大二村推廣課程事宜，擬辦理興大二村一樓空間整修工程，所需經費約</t>
    </r>
    <r>
      <rPr>
        <sz val="14"/>
        <rFont val="Times New Roman"/>
        <family val="1"/>
      </rPr>
      <t>1,636</t>
    </r>
    <r>
      <rPr>
        <sz val="14"/>
        <rFont val="標楷體"/>
        <family val="4"/>
        <charset val="136"/>
      </rPr>
      <t>千元。</t>
    </r>
    <r>
      <rPr>
        <sz val="14"/>
        <rFont val="Times New Roman"/>
        <family val="1"/>
      </rPr>
      <t>(</t>
    </r>
    <r>
      <rPr>
        <sz val="14"/>
        <rFont val="標楷體"/>
        <family val="4"/>
        <charset val="136"/>
      </rPr>
      <t>經常門</t>
    </r>
    <r>
      <rPr>
        <sz val="14"/>
        <rFont val="Times New Roman"/>
        <family val="1"/>
      </rPr>
      <t>780</t>
    </r>
    <r>
      <rPr>
        <sz val="14"/>
        <rFont val="標楷體"/>
        <family val="4"/>
        <charset val="136"/>
      </rPr>
      <t>千元、資本門</t>
    </r>
    <r>
      <rPr>
        <sz val="14"/>
        <rFont val="Times New Roman"/>
        <family val="1"/>
      </rPr>
      <t>856</t>
    </r>
    <r>
      <rPr>
        <sz val="14"/>
        <rFont val="標楷體"/>
        <family val="4"/>
        <charset val="136"/>
      </rPr>
      <t>千元</t>
    </r>
    <r>
      <rPr>
        <sz val="14"/>
        <rFont val="Times New Roman"/>
        <family val="1"/>
      </rPr>
      <t>)</t>
    </r>
    <phoneticPr fontId="2" type="noConversion"/>
  </si>
  <si>
    <r>
      <rPr>
        <sz val="14"/>
        <rFont val="標楷體"/>
        <family val="4"/>
        <charset val="136"/>
      </rPr>
      <t>配合學校積極申設學士後醫學系之發展方向，本計畫第</t>
    </r>
    <r>
      <rPr>
        <sz val="14"/>
        <rFont val="Times New Roman"/>
        <family val="1"/>
      </rPr>
      <t>2</t>
    </r>
    <r>
      <rPr>
        <sz val="14"/>
        <rFont val="標楷體"/>
        <family val="4"/>
        <charset val="136"/>
      </rPr>
      <t>年除了持續充實生科醫學相關領域之電子書資源，並進行電子書館藏需求及滿意度問卷調查，藉以瞭解師生使用電子書現況外，並分析目前電子書館藏的優勢與缺失，並購置符合師生需求之電子書資源，發展綜合大學多元教學之優勢。</t>
    </r>
    <r>
      <rPr>
        <sz val="14"/>
        <rFont val="Times New Roman"/>
        <family val="1"/>
      </rPr>
      <t>111</t>
    </r>
    <r>
      <rPr>
        <sz val="14"/>
        <rFont val="標楷體"/>
        <family val="4"/>
        <charset val="136"/>
      </rPr>
      <t>年度需經常門經費</t>
    </r>
    <r>
      <rPr>
        <sz val="14"/>
        <rFont val="Times New Roman"/>
        <family val="1"/>
      </rPr>
      <t>418,640</t>
    </r>
    <r>
      <rPr>
        <sz val="14"/>
        <rFont val="標楷體"/>
        <family val="4"/>
        <charset val="136"/>
      </rPr>
      <t>元，由高教深耕計畫支應。</t>
    </r>
    <phoneticPr fontId="65" type="noConversion"/>
  </si>
  <si>
    <r>
      <rPr>
        <sz val="14"/>
        <rFont val="標楷體"/>
        <family val="4"/>
        <charset val="136"/>
      </rPr>
      <t>本計畫以充實藝術相關領域圖書及影音資源館藏與支援本校師生教學研究為目標，以多元方式進行徵集計畫，預期可豐富本校學術資源，並支援師生對館藏之需求。</t>
    </r>
    <r>
      <rPr>
        <sz val="14"/>
        <rFont val="Times New Roman"/>
        <family val="1"/>
      </rPr>
      <t>111</t>
    </r>
    <r>
      <rPr>
        <sz val="14"/>
        <rFont val="標楷體"/>
        <family val="4"/>
        <charset val="136"/>
      </rPr>
      <t>年度需經常門經費</t>
    </r>
    <r>
      <rPr>
        <sz val="14"/>
        <rFont val="Times New Roman"/>
        <family val="1"/>
      </rPr>
      <t>996,640</t>
    </r>
    <r>
      <rPr>
        <sz val="14"/>
        <rFont val="標楷體"/>
        <family val="4"/>
        <charset val="136"/>
      </rPr>
      <t>元，資本門經費</t>
    </r>
    <r>
      <rPr>
        <sz val="14"/>
        <rFont val="Times New Roman"/>
        <family val="1"/>
      </rPr>
      <t>400,000</t>
    </r>
    <r>
      <rPr>
        <sz val="14"/>
        <rFont val="標楷體"/>
        <family val="4"/>
        <charset val="136"/>
      </rPr>
      <t>元，由高教深耕計畫支應。</t>
    </r>
    <phoneticPr fontId="65" type="noConversion"/>
  </si>
  <si>
    <r>
      <rPr>
        <sz val="14"/>
        <rFont val="標楷體"/>
        <family val="4"/>
        <charset val="136"/>
      </rPr>
      <t>本館積極與校內外單位合作辦理講座，透過本計畫向全校教師宣導註冊</t>
    </r>
    <r>
      <rPr>
        <sz val="14"/>
        <rFont val="Times New Roman"/>
        <family val="1"/>
      </rPr>
      <t>ORCID</t>
    </r>
    <r>
      <rPr>
        <sz val="14"/>
        <rFont val="標楷體"/>
        <family val="4"/>
        <charset val="136"/>
      </rPr>
      <t>並授權圖書館代理維護著作，藉以提高本校</t>
    </r>
    <r>
      <rPr>
        <sz val="14"/>
        <rFont val="Times New Roman"/>
        <family val="1"/>
      </rPr>
      <t>ORCID</t>
    </r>
    <r>
      <rPr>
        <sz val="14"/>
        <rFont val="標楷體"/>
        <family val="4"/>
        <charset val="136"/>
      </rPr>
      <t>註冊率，充實教師學術履歷內容。</t>
    </r>
    <r>
      <rPr>
        <sz val="14"/>
        <rFont val="Times New Roman"/>
        <family val="1"/>
      </rPr>
      <t>111</t>
    </r>
    <r>
      <rPr>
        <sz val="14"/>
        <rFont val="標楷體"/>
        <family val="4"/>
        <charset val="136"/>
      </rPr>
      <t>年度需經常門經費</t>
    </r>
    <r>
      <rPr>
        <sz val="14"/>
        <rFont val="Times New Roman"/>
        <family val="1"/>
      </rPr>
      <t>168</t>
    </r>
    <r>
      <rPr>
        <sz val="14"/>
        <rFont val="標楷體"/>
        <family val="4"/>
        <charset val="136"/>
      </rPr>
      <t>千元，由高教深耕計畫支應。</t>
    </r>
    <phoneticPr fontId="65" type="noConversion"/>
  </si>
  <si>
    <r>
      <rPr>
        <sz val="14"/>
        <rFont val="標楷體"/>
        <family val="4"/>
        <charset val="136"/>
      </rPr>
      <t>為提升本校學術研究論文品質與能量，擬分</t>
    </r>
    <r>
      <rPr>
        <sz val="14"/>
        <rFont val="Times New Roman"/>
        <family val="1"/>
      </rPr>
      <t>3</t>
    </r>
    <r>
      <rPr>
        <sz val="14"/>
        <rFont val="標楷體"/>
        <family val="4"/>
        <charset val="136"/>
      </rPr>
      <t>年建置「學術能量影音專區」，期望透過各領域高研發能量教師訪談影片，提出論文撰寫建議，分享研究及投稿經驗，供本校研究生於圖書館專屬數位學習平台線上觀看。辦理專家論壇，激發同學論文主題的構思及寫作能力，同時圖書館並規劃展示一系列研究資源與論文相關書籍及論文資源資料庫說明課程，讓研究人員透過自主學習更能了解如何搜尋論文主題技巧及有效利用圖書館資源，</t>
    </r>
    <r>
      <rPr>
        <sz val="14"/>
        <rFont val="Times New Roman"/>
        <family val="1"/>
      </rPr>
      <t>111</t>
    </r>
    <r>
      <rPr>
        <sz val="14"/>
        <rFont val="標楷體"/>
        <family val="4"/>
        <charset val="136"/>
      </rPr>
      <t>年度需經常門經費</t>
    </r>
    <r>
      <rPr>
        <sz val="14"/>
        <rFont val="Times New Roman"/>
        <family val="1"/>
      </rPr>
      <t>100</t>
    </r>
    <r>
      <rPr>
        <sz val="14"/>
        <rFont val="標楷體"/>
        <family val="4"/>
        <charset val="136"/>
      </rPr>
      <t>千元，由高教深耕計畫支應。</t>
    </r>
    <phoneticPr fontId="65" type="noConversion"/>
  </si>
  <si>
    <r>
      <rPr>
        <sz val="14"/>
        <rFont val="標楷體"/>
        <family val="4"/>
        <charset val="136"/>
      </rPr>
      <t>為配合學位授予法修正規範及教育部檢送大學碩博士論文授權書範本，並優化研究生上傳論文與圖書館審核流程，擬於</t>
    </r>
    <r>
      <rPr>
        <sz val="14"/>
        <rFont val="Times New Roman"/>
        <family val="1"/>
      </rPr>
      <t>111</t>
    </r>
    <r>
      <rPr>
        <sz val="14"/>
        <rFont val="標楷體"/>
        <family val="4"/>
        <charset val="136"/>
      </rPr>
      <t>年建置全方位博碩士論文系統，從論文查詢、研究方法、課程學習、學術研究倫理至論文上傳等，整合建置相關資源與內容，透過該系統提供完善的學位論文整合服務，提升本校整體學術研究之效率及能力，</t>
    </r>
    <r>
      <rPr>
        <sz val="14"/>
        <rFont val="Times New Roman"/>
        <family val="1"/>
      </rPr>
      <t>111</t>
    </r>
    <r>
      <rPr>
        <sz val="14"/>
        <rFont val="標楷體"/>
        <family val="4"/>
        <charset val="136"/>
      </rPr>
      <t>年度需經常門經費</t>
    </r>
    <r>
      <rPr>
        <sz val="14"/>
        <rFont val="Times New Roman"/>
        <family val="1"/>
      </rPr>
      <t>768</t>
    </r>
    <r>
      <rPr>
        <sz val="14"/>
        <rFont val="標楷體"/>
        <family val="4"/>
        <charset val="136"/>
      </rPr>
      <t>千元，由高教深耕計畫支應。</t>
    </r>
    <phoneticPr fontId="65" type="noConversion"/>
  </si>
  <si>
    <r>
      <rPr>
        <sz val="14"/>
        <rFont val="標楷體"/>
        <family val="4"/>
        <charset val="136"/>
      </rPr>
      <t>鑑於本校每年挹注期刊經費高達</t>
    </r>
    <r>
      <rPr>
        <sz val="14"/>
        <rFont val="Times New Roman"/>
        <family val="1"/>
      </rPr>
      <t>5</t>
    </r>
    <r>
      <rPr>
        <sz val="14"/>
        <rFont val="標楷體"/>
        <family val="4"/>
        <charset val="136"/>
      </rPr>
      <t>至</t>
    </r>
    <r>
      <rPr>
        <sz val="14"/>
        <rFont val="Times New Roman"/>
        <family val="1"/>
      </rPr>
      <t>6</t>
    </r>
    <r>
      <rPr>
        <sz val="14"/>
        <rFont val="標楷體"/>
        <family val="4"/>
        <charset val="136"/>
      </rPr>
      <t>千萬，為了解期刊使用情況與讀者研究需求，本計畫擬運用引文分析法進行興大師生近</t>
    </r>
    <r>
      <rPr>
        <sz val="14"/>
        <rFont val="Times New Roman"/>
        <family val="1"/>
      </rPr>
      <t>3</t>
    </r>
    <r>
      <rPr>
        <sz val="14"/>
        <rFont val="標楷體"/>
        <family val="4"/>
        <charset val="136"/>
      </rPr>
      <t>年發表的學術論文期刊引文分析，相關分析結果擬作為本館西文期刊館藏發展的參考，以增進採購效益。本案總經費</t>
    </r>
    <r>
      <rPr>
        <sz val="14"/>
        <rFont val="Times New Roman"/>
        <family val="1"/>
      </rPr>
      <t>312</t>
    </r>
    <r>
      <rPr>
        <sz val="14"/>
        <rFont val="標楷體"/>
        <family val="4"/>
        <charset val="136"/>
      </rPr>
      <t>千元，</t>
    </r>
    <r>
      <rPr>
        <sz val="14"/>
        <rFont val="Times New Roman"/>
        <family val="1"/>
      </rPr>
      <t>111</t>
    </r>
    <r>
      <rPr>
        <sz val="14"/>
        <rFont val="標楷體"/>
        <family val="4"/>
        <charset val="136"/>
      </rPr>
      <t>年度需經常門經費</t>
    </r>
    <r>
      <rPr>
        <sz val="14"/>
        <rFont val="Times New Roman"/>
        <family val="1"/>
      </rPr>
      <t>156</t>
    </r>
    <r>
      <rPr>
        <sz val="14"/>
        <rFont val="標楷體"/>
        <family val="4"/>
        <charset val="136"/>
      </rPr>
      <t>千元，</t>
    </r>
    <r>
      <rPr>
        <sz val="14"/>
        <rFont val="Times New Roman"/>
        <family val="1"/>
      </rPr>
      <t>112</t>
    </r>
    <r>
      <rPr>
        <sz val="14"/>
        <rFont val="標楷體"/>
        <family val="4"/>
        <charset val="136"/>
      </rPr>
      <t>年度需經常門</t>
    </r>
    <r>
      <rPr>
        <sz val="14"/>
        <rFont val="Times New Roman"/>
        <family val="1"/>
      </rPr>
      <t>156</t>
    </r>
    <r>
      <rPr>
        <sz val="14"/>
        <rFont val="標楷體"/>
        <family val="4"/>
        <charset val="136"/>
      </rPr>
      <t>千元，由高教深耕計畫支應。</t>
    </r>
    <phoneticPr fontId="65" type="noConversion"/>
  </si>
  <si>
    <r>
      <rPr>
        <sz val="14"/>
        <rFont val="標楷體"/>
        <family val="4"/>
        <charset val="136"/>
      </rPr>
      <t>本館現有乙太網路交換器設備老舊，埠數已不符合擴充需求，為確保圖書無線網路服務之穩定性及流暢性，擬分</t>
    </r>
    <r>
      <rPr>
        <sz val="14"/>
        <rFont val="Times New Roman"/>
        <family val="1"/>
      </rPr>
      <t>2</t>
    </r>
    <r>
      <rPr>
        <sz val="14"/>
        <rFont val="標楷體"/>
        <family val="4"/>
        <charset val="136"/>
      </rPr>
      <t>年逐步分樓層改善網路基礎設施，更新圖書館各樓層之乙太網路供電交換器，以符合師生無線網路之存取速率及無線基地台供電量需求，提升無線網路乘載能力服務品質。本案總經費</t>
    </r>
    <r>
      <rPr>
        <sz val="14"/>
        <rFont val="Times New Roman"/>
        <family val="1"/>
      </rPr>
      <t>1,320</t>
    </r>
    <r>
      <rPr>
        <sz val="14"/>
        <rFont val="標楷體"/>
        <family val="4"/>
        <charset val="136"/>
      </rPr>
      <t>千元，</t>
    </r>
    <r>
      <rPr>
        <sz val="14"/>
        <rFont val="Times New Roman"/>
        <family val="1"/>
      </rPr>
      <t>111</t>
    </r>
    <r>
      <rPr>
        <sz val="14"/>
        <rFont val="標楷體"/>
        <family val="4"/>
        <charset val="136"/>
      </rPr>
      <t>年度需</t>
    </r>
    <r>
      <rPr>
        <sz val="14"/>
        <rFont val="Times New Roman"/>
        <family val="1"/>
      </rPr>
      <t>661</t>
    </r>
    <r>
      <rPr>
        <sz val="14"/>
        <rFont val="標楷體"/>
        <family val="4"/>
        <charset val="136"/>
      </rPr>
      <t>千元</t>
    </r>
    <r>
      <rPr>
        <sz val="14"/>
        <rFont val="Times New Roman"/>
        <family val="1"/>
      </rPr>
      <t>(</t>
    </r>
    <r>
      <rPr>
        <sz val="14"/>
        <rFont val="標楷體"/>
        <family val="4"/>
        <charset val="136"/>
      </rPr>
      <t>經常門</t>
    </r>
    <r>
      <rPr>
        <sz val="14"/>
        <rFont val="Times New Roman"/>
        <family val="1"/>
      </rPr>
      <t>21</t>
    </r>
    <r>
      <rPr>
        <sz val="14"/>
        <rFont val="標楷體"/>
        <family val="4"/>
        <charset val="136"/>
      </rPr>
      <t>千元及資本門</t>
    </r>
    <r>
      <rPr>
        <sz val="14"/>
        <rFont val="Times New Roman"/>
        <family val="1"/>
      </rPr>
      <t>640</t>
    </r>
    <r>
      <rPr>
        <sz val="14"/>
        <rFont val="標楷體"/>
        <family val="4"/>
        <charset val="136"/>
      </rPr>
      <t>千元</t>
    </r>
    <r>
      <rPr>
        <sz val="14"/>
        <rFont val="Times New Roman"/>
        <family val="1"/>
      </rPr>
      <t>)</t>
    </r>
    <r>
      <rPr>
        <sz val="14"/>
        <rFont val="標楷體"/>
        <family val="4"/>
        <charset val="136"/>
      </rPr>
      <t>，</t>
    </r>
    <r>
      <rPr>
        <sz val="14"/>
        <rFont val="Times New Roman"/>
        <family val="1"/>
      </rPr>
      <t>112</t>
    </r>
    <r>
      <rPr>
        <sz val="14"/>
        <rFont val="標楷體"/>
        <family val="4"/>
        <charset val="136"/>
      </rPr>
      <t>年度需</t>
    </r>
    <r>
      <rPr>
        <sz val="14"/>
        <rFont val="Times New Roman"/>
        <family val="1"/>
      </rPr>
      <t>659</t>
    </r>
    <r>
      <rPr>
        <sz val="14"/>
        <rFont val="標楷體"/>
        <family val="4"/>
        <charset val="136"/>
      </rPr>
      <t>千元，由原分配總額內調整支應。</t>
    </r>
    <phoneticPr fontId="65" type="noConversion"/>
  </si>
  <si>
    <r>
      <rPr>
        <sz val="14"/>
        <rFont val="標楷體"/>
        <family val="4"/>
        <charset val="136"/>
      </rPr>
      <t>依臺灣國立大學系統委員會第</t>
    </r>
    <r>
      <rPr>
        <sz val="14"/>
        <rFont val="Times New Roman"/>
        <family val="1"/>
      </rPr>
      <t>1</t>
    </r>
    <r>
      <rPr>
        <sz val="14"/>
        <rFont val="標楷體"/>
        <family val="4"/>
        <charset val="136"/>
      </rPr>
      <t>次會議決議：系統成員校自</t>
    </r>
    <r>
      <rPr>
        <sz val="14"/>
        <rFont val="Times New Roman"/>
        <family val="1"/>
      </rPr>
      <t>111</t>
    </r>
    <r>
      <rPr>
        <sz val="14"/>
        <rFont val="標楷體"/>
        <family val="4"/>
        <charset val="136"/>
      </rPr>
      <t>年度起各自由校務基金年度預算每年編列</t>
    </r>
    <r>
      <rPr>
        <sz val="14"/>
        <rFont val="Times New Roman"/>
        <family val="1"/>
      </rPr>
      <t>2,000</t>
    </r>
    <r>
      <rPr>
        <sz val="14"/>
        <rFont val="標楷體"/>
        <family val="4"/>
        <charset val="136"/>
      </rPr>
      <t>千元，控留於各校，供本系統運作使用，俟年度結束再結算。行政費用</t>
    </r>
    <r>
      <rPr>
        <sz val="14"/>
        <rFont val="Times New Roman"/>
        <family val="1"/>
      </rPr>
      <t>1,000</t>
    </r>
    <r>
      <rPr>
        <sz val="14"/>
        <rFont val="標楷體"/>
        <family val="4"/>
        <charset val="136"/>
      </rPr>
      <t>千元由系統總部</t>
    </r>
    <r>
      <rPr>
        <sz val="14"/>
        <rFont val="Times New Roman"/>
        <family val="1"/>
      </rPr>
      <t>(</t>
    </r>
    <r>
      <rPr>
        <sz val="14"/>
        <rFont val="標楷體"/>
        <family val="4"/>
        <charset val="136"/>
      </rPr>
      <t>國立中興大學</t>
    </r>
    <r>
      <rPr>
        <sz val="14"/>
        <rFont val="Times New Roman"/>
        <family val="1"/>
      </rPr>
      <t>)</t>
    </r>
    <r>
      <rPr>
        <sz val="14"/>
        <rFont val="標楷體"/>
        <family val="4"/>
        <charset val="136"/>
      </rPr>
      <t>編列。臺灣國立大學系統業於</t>
    </r>
    <r>
      <rPr>
        <sz val="14"/>
        <rFont val="Times New Roman"/>
        <family val="1"/>
      </rPr>
      <t>110</t>
    </r>
    <r>
      <rPr>
        <sz val="14"/>
        <rFont val="標楷體"/>
        <family val="4"/>
        <charset val="136"/>
      </rPr>
      <t>年</t>
    </r>
    <r>
      <rPr>
        <sz val="14"/>
        <rFont val="Times New Roman"/>
        <family val="1"/>
      </rPr>
      <t>2</t>
    </r>
    <r>
      <rPr>
        <sz val="14"/>
        <rFont val="標楷體"/>
        <family val="4"/>
        <charset val="136"/>
      </rPr>
      <t>月</t>
    </r>
    <r>
      <rPr>
        <sz val="14"/>
        <rFont val="Times New Roman"/>
        <family val="1"/>
      </rPr>
      <t>18</t>
    </r>
    <r>
      <rPr>
        <sz val="14"/>
        <rFont val="標楷體"/>
        <family val="4"/>
        <charset val="136"/>
      </rPr>
      <t>日經教育部同意設立，故自</t>
    </r>
    <r>
      <rPr>
        <sz val="14"/>
        <rFont val="Times New Roman"/>
        <family val="1"/>
      </rPr>
      <t>111</t>
    </r>
    <r>
      <rPr>
        <sz val="14"/>
        <rFont val="標楷體"/>
        <family val="4"/>
        <charset val="136"/>
      </rPr>
      <t>年度起編列</t>
    </r>
    <r>
      <rPr>
        <sz val="14"/>
        <rFont val="Times New Roman"/>
        <family val="1"/>
      </rPr>
      <t>3,000</t>
    </r>
    <r>
      <rPr>
        <sz val="14"/>
        <rFont val="標楷體"/>
        <family val="4"/>
        <charset val="136"/>
      </rPr>
      <t>千元，以利系統總部及系統委員會之穩定運作。</t>
    </r>
    <phoneticPr fontId="2" type="noConversion"/>
  </si>
  <si>
    <r>
      <rPr>
        <sz val="14"/>
        <rFont val="標楷體"/>
        <family val="4"/>
        <charset val="136"/>
      </rPr>
      <t>興大校友證自</t>
    </r>
    <r>
      <rPr>
        <sz val="14"/>
        <rFont val="Times New Roman"/>
        <family val="1"/>
      </rPr>
      <t>109</t>
    </r>
    <r>
      <rPr>
        <sz val="14"/>
        <rFont val="標楷體"/>
        <family val="4"/>
        <charset val="136"/>
      </rPr>
      <t>年</t>
    </r>
    <r>
      <rPr>
        <sz val="14"/>
        <rFont val="Times New Roman"/>
        <family val="1"/>
      </rPr>
      <t>11</t>
    </r>
    <r>
      <rPr>
        <sz val="14"/>
        <rFont val="標楷體"/>
        <family val="4"/>
        <charset val="136"/>
      </rPr>
      <t>月起由實體校友證改為虛擬校友證，每年需維護費用</t>
    </r>
    <r>
      <rPr>
        <sz val="14"/>
        <rFont val="Times New Roman"/>
        <family val="1"/>
      </rPr>
      <t>200</t>
    </r>
    <r>
      <rPr>
        <sz val="14"/>
        <rFont val="標楷體"/>
        <family val="4"/>
        <charset val="136"/>
      </rPr>
      <t>千元，另依教育部規定，每年需辦理</t>
    </r>
    <r>
      <rPr>
        <sz val="14"/>
        <rFont val="Times New Roman"/>
        <family val="1"/>
      </rPr>
      <t>APP</t>
    </r>
    <r>
      <rPr>
        <sz val="14"/>
        <rFont val="標楷體"/>
        <family val="4"/>
        <charset val="136"/>
      </rPr>
      <t>資安檢測，每年需費用</t>
    </r>
    <r>
      <rPr>
        <sz val="14"/>
        <rFont val="Times New Roman"/>
        <family val="1"/>
      </rPr>
      <t>200</t>
    </r>
    <r>
      <rPr>
        <sz val="14"/>
        <rFont val="標楷體"/>
        <family val="4"/>
        <charset val="136"/>
      </rPr>
      <t>千元，自</t>
    </r>
    <r>
      <rPr>
        <sz val="14"/>
        <rFont val="Times New Roman"/>
        <family val="1"/>
      </rPr>
      <t>111</t>
    </r>
    <r>
      <rPr>
        <sz val="14"/>
        <rFont val="標楷體"/>
        <family val="4"/>
        <charset val="136"/>
      </rPr>
      <t>年度起每年新增</t>
    </r>
    <r>
      <rPr>
        <sz val="14"/>
        <rFont val="Times New Roman"/>
        <family val="1"/>
      </rPr>
      <t>400</t>
    </r>
    <r>
      <rPr>
        <sz val="14"/>
        <rFont val="標楷體"/>
        <family val="4"/>
        <charset val="136"/>
      </rPr>
      <t>千元，以利維持虛擬校友證正常運作及提供校友相關服務，由校友中心捐贈款支應。</t>
    </r>
    <phoneticPr fontId="2" type="noConversion"/>
  </si>
  <si>
    <r>
      <rPr>
        <sz val="14"/>
        <rFont val="標楷體"/>
        <family val="4"/>
        <charset val="136"/>
      </rPr>
      <t>自111年度起，每年分配</t>
    </r>
    <r>
      <rPr>
        <sz val="14"/>
        <rFont val="Times New Roman"/>
        <family val="1"/>
      </rPr>
      <t>300</t>
    </r>
    <r>
      <rPr>
        <sz val="14"/>
        <rFont val="標楷體"/>
        <family val="4"/>
        <charset val="136"/>
      </rPr>
      <t>千元校慶慶祝大會專項經費，專款專用。</t>
    </r>
    <phoneticPr fontId="6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</si>
</sst>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0\)"/>
  </numFmts>
  <fonts count="74" x14ac:knownFonts="1">
    <font>
      <sz val="12"/>
      <color theme="1"/>
      <name val="新細明體"/>
      <family val="2"/>
      <charset val="136"/>
      <scheme val="minor"/>
    </font>
    <font>
      <sz val="14"/>
      <color theme="1"/>
      <name val="標楷體"/>
      <family val="4"/>
      <charset val="136"/>
    </font>
    <font>
      <sz val="9"/>
      <name val="新細明體"/>
      <family val="2"/>
      <charset val="136"/>
      <scheme val="minor"/>
    </font>
    <font>
      <b/>
      <sz val="14"/>
      <color theme="1"/>
      <name val="標楷體"/>
      <family val="4"/>
      <charset val="136"/>
    </font>
    <font>
      <sz val="14"/>
      <color rgb="FF0070C0"/>
      <name val="標楷體"/>
      <family val="4"/>
      <charset val="136"/>
    </font>
    <font>
      <sz val="14"/>
      <color rgb="FFFF0000"/>
      <name val="標楷體"/>
      <family val="4"/>
      <charset val="136"/>
    </font>
    <font>
      <sz val="12"/>
      <color theme="1"/>
      <name val="標楷體"/>
      <family val="4"/>
      <charset val="136"/>
    </font>
    <font>
      <sz val="14"/>
      <name val="標楷體"/>
      <family val="4"/>
      <charset val="136"/>
    </font>
    <font>
      <sz val="12"/>
      <color rgb="FFFF0000"/>
      <name val="標楷體"/>
      <family val="4"/>
      <charset val="136"/>
    </font>
    <font>
      <sz val="13"/>
      <color theme="1"/>
      <name val="標楷體"/>
      <family val="4"/>
      <charset val="136"/>
    </font>
    <font>
      <sz val="12"/>
      <name val="Times New Roman"/>
      <family val="1"/>
    </font>
    <font>
      <sz val="16"/>
      <name val="新細明體"/>
      <family val="1"/>
      <charset val="136"/>
    </font>
    <font>
      <sz val="9"/>
      <name val="新細明體"/>
      <family val="1"/>
      <charset val="136"/>
    </font>
    <font>
      <sz val="16"/>
      <name val="細明體"/>
      <family val="3"/>
      <charset val="136"/>
    </font>
    <font>
      <sz val="16"/>
      <name val="Times New Roman"/>
      <family val="1"/>
    </font>
    <font>
      <b/>
      <sz val="18"/>
      <name val="Times New Roman"/>
      <family val="1"/>
    </font>
    <font>
      <b/>
      <sz val="18"/>
      <name val="新細明體"/>
      <family val="1"/>
      <charset val="136"/>
    </font>
    <font>
      <b/>
      <sz val="12"/>
      <name val="Times New Roman"/>
      <family val="1"/>
    </font>
    <font>
      <sz val="18"/>
      <name val="Times New Roman"/>
      <family val="1"/>
    </font>
    <font>
      <sz val="18"/>
      <name val="新細明體"/>
      <family val="1"/>
      <charset val="136"/>
    </font>
    <font>
      <b/>
      <i/>
      <sz val="18"/>
      <name val="新細明體"/>
      <family val="1"/>
      <charset val="136"/>
    </font>
    <font>
      <sz val="18"/>
      <name val="細明體"/>
      <family val="3"/>
      <charset val="136"/>
    </font>
    <font>
      <sz val="12"/>
      <name val="新細明體"/>
      <family val="1"/>
      <charset val="136"/>
    </font>
    <font>
      <sz val="18"/>
      <name val="Wingdings"/>
      <charset val="2"/>
    </font>
    <font>
      <sz val="14"/>
      <color theme="1"/>
      <name val="Times New Roman"/>
      <family val="1"/>
    </font>
    <font>
      <sz val="14"/>
      <color rgb="FF0070C0"/>
      <name val="Times New Roman"/>
      <family val="1"/>
    </font>
    <font>
      <b/>
      <sz val="14"/>
      <color theme="1"/>
      <name val="Times New Roman"/>
      <family val="1"/>
    </font>
    <font>
      <sz val="13"/>
      <color theme="1"/>
      <name val="Times New Roman"/>
      <family val="1"/>
    </font>
    <font>
      <sz val="14"/>
      <color rgb="FFFF0000"/>
      <name val="Times New Roman"/>
      <family val="1"/>
    </font>
    <font>
      <sz val="12"/>
      <color theme="1"/>
      <name val="Times New Roman"/>
      <family val="1"/>
    </font>
    <font>
      <b/>
      <sz val="14"/>
      <color rgb="FF0070C0"/>
      <name val="Times New Roman"/>
      <family val="1"/>
    </font>
    <font>
      <sz val="12"/>
      <color rgb="FFFF0000"/>
      <name val="Times New Roman"/>
      <family val="1"/>
    </font>
    <font>
      <sz val="14"/>
      <color rgb="FF0070C0"/>
      <name val="Wingdings 2"/>
      <family val="1"/>
      <charset val="2"/>
    </font>
    <font>
      <b/>
      <sz val="14"/>
      <name val="Times New Roman"/>
      <family val="1"/>
    </font>
    <font>
      <sz val="14"/>
      <name val="Times New Roman"/>
      <family val="1"/>
    </font>
    <font>
      <sz val="18"/>
      <color theme="1"/>
      <name val="新細明體"/>
      <family val="1"/>
      <charset val="136"/>
    </font>
    <font>
      <sz val="18"/>
      <color theme="1"/>
      <name val="Times New Roman"/>
      <family val="1"/>
    </font>
    <font>
      <u/>
      <sz val="14"/>
      <name val="標楷體"/>
      <family val="4"/>
      <charset val="136"/>
    </font>
    <font>
      <u/>
      <sz val="14"/>
      <name val="Times New Roman"/>
      <family val="1"/>
    </font>
    <font>
      <sz val="14"/>
      <color rgb="FF7030A0"/>
      <name val="Times New Roman"/>
      <family val="1"/>
    </font>
    <font>
      <b/>
      <sz val="9"/>
      <color indexed="81"/>
      <name val="Tahoma"/>
      <family val="2"/>
    </font>
    <font>
      <sz val="9"/>
      <color indexed="81"/>
      <name val="Tahoma"/>
      <family val="2"/>
    </font>
    <font>
      <sz val="10"/>
      <color indexed="81"/>
      <name val="Tahoma"/>
      <family val="2"/>
    </font>
    <font>
      <sz val="10"/>
      <color indexed="81"/>
      <name val="細明體"/>
      <family val="3"/>
      <charset val="136"/>
    </font>
    <font>
      <sz val="18"/>
      <name val="Wingdings 2"/>
      <family val="1"/>
      <charset val="2"/>
    </font>
    <font>
      <b/>
      <sz val="14"/>
      <name val="標楷體"/>
      <family val="4"/>
      <charset val="136"/>
    </font>
    <font>
      <sz val="14"/>
      <color theme="0"/>
      <name val="Times New Roman"/>
      <family val="1"/>
    </font>
    <font>
      <sz val="14"/>
      <color theme="0"/>
      <name val="標楷體"/>
      <family val="4"/>
      <charset val="136"/>
    </font>
    <font>
      <b/>
      <sz val="14"/>
      <color rgb="FFFF0000"/>
      <name val="標楷體"/>
      <family val="4"/>
      <charset val="136"/>
    </font>
    <font>
      <b/>
      <sz val="14"/>
      <color rgb="FFFF0000"/>
      <name val="Times New Roman"/>
      <family val="1"/>
    </font>
    <font>
      <sz val="12"/>
      <name val="標楷體"/>
      <family val="4"/>
      <charset val="136"/>
    </font>
    <font>
      <sz val="12"/>
      <name val="細明體"/>
      <family val="3"/>
      <charset val="136"/>
    </font>
    <font>
      <sz val="10"/>
      <name val="新細明體"/>
      <family val="1"/>
      <charset val="136"/>
    </font>
    <font>
      <sz val="14"/>
      <name val="新細明體"/>
      <family val="1"/>
      <charset val="136"/>
    </font>
    <font>
      <b/>
      <sz val="16"/>
      <name val="Times New Roman"/>
      <family val="1"/>
    </font>
    <font>
      <sz val="13"/>
      <name val="新細明體"/>
      <family val="1"/>
      <charset val="136"/>
    </font>
    <font>
      <b/>
      <sz val="14"/>
      <name val="新細明體"/>
      <family val="1"/>
      <charset val="136"/>
    </font>
    <font>
      <b/>
      <sz val="12"/>
      <name val="新細明體"/>
      <family val="1"/>
      <charset val="136"/>
    </font>
    <font>
      <sz val="14"/>
      <color theme="1"/>
      <name val="新細明體"/>
      <family val="1"/>
      <charset val="136"/>
    </font>
    <font>
      <sz val="9"/>
      <color indexed="81"/>
      <name val="細明體"/>
      <family val="3"/>
      <charset val="136"/>
    </font>
    <font>
      <b/>
      <sz val="14"/>
      <color indexed="81"/>
      <name val="Tahoma"/>
      <family val="2"/>
    </font>
    <font>
      <b/>
      <sz val="14"/>
      <color indexed="81"/>
      <name val="細明體"/>
      <family val="3"/>
      <charset val="136"/>
    </font>
    <font>
      <sz val="14"/>
      <color indexed="81"/>
      <name val="新細明體"/>
      <family val="1"/>
      <charset val="136"/>
    </font>
    <font>
      <u/>
      <sz val="14"/>
      <color indexed="81"/>
      <name val="新細明體"/>
      <family val="1"/>
      <charset val="136"/>
    </font>
    <font>
      <sz val="18"/>
      <name val="新細明體"/>
      <family val="1"/>
      <charset val="136"/>
      <scheme val="minor"/>
    </font>
    <font>
      <sz val="9"/>
      <name val="新細明體"/>
      <family val="1"/>
      <charset val="136"/>
      <scheme val="minor"/>
    </font>
    <font>
      <sz val="16"/>
      <color indexed="8"/>
      <name val="新細明體"/>
      <family val="1"/>
      <charset val="136"/>
      <scheme val="minor"/>
    </font>
    <font>
      <sz val="16"/>
      <color indexed="8"/>
      <name val="新細明體"/>
      <family val="1"/>
      <charset val="136"/>
    </font>
    <font>
      <sz val="14"/>
      <name val="Times New Roman"/>
      <family val="4"/>
      <charset val="136"/>
    </font>
    <font>
      <sz val="18"/>
      <color indexed="8"/>
      <name val="新細明體"/>
      <family val="1"/>
      <charset val="136"/>
      <scheme val="minor"/>
    </font>
    <font>
      <sz val="18"/>
      <color indexed="8"/>
      <name val="Times New Roman"/>
      <family val="1"/>
    </font>
    <font>
      <sz val="16"/>
      <color indexed="8"/>
      <name val="微軟正黑體"/>
      <family val="1"/>
      <charset val="136"/>
    </font>
    <font>
      <sz val="14"/>
      <color theme="1"/>
      <name val="Times New Roman"/>
      <family val="4"/>
    </font>
    <font>
      <sz val="14"/>
      <color theme="1"/>
      <name val="Times New Roman"/>
      <family val="4"/>
      <charset val="136"/>
    </font>
  </fonts>
  <fills count="10">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
      <patternFill patternType="solid">
        <fgColor rgb="FF99CCFF"/>
        <bgColor indexed="64"/>
      </patternFill>
    </fill>
    <fill>
      <patternFill patternType="solid">
        <fgColor indexed="51"/>
        <bgColor indexed="64"/>
      </patternFill>
    </fill>
    <fill>
      <patternFill patternType="solid">
        <fgColor theme="0"/>
        <bgColor indexed="64"/>
      </patternFill>
    </fill>
    <fill>
      <patternFill patternType="solid">
        <fgColor rgb="FFFFCC00"/>
        <bgColor indexed="64"/>
      </patternFill>
    </fill>
    <fill>
      <patternFill patternType="solid">
        <fgColor indexed="27"/>
        <bgColor indexed="64"/>
      </patternFill>
    </fill>
    <fill>
      <patternFill patternType="solid">
        <fgColor rgb="FFFFC000"/>
        <bgColor indexed="64"/>
      </patternFill>
    </fill>
  </fills>
  <borders count="67">
    <border>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rgb="FFFF6699"/>
      </left>
      <right style="medium">
        <color rgb="FFFF6699"/>
      </right>
      <top style="medium">
        <color indexed="64"/>
      </top>
      <bottom/>
      <diagonal/>
    </border>
    <border>
      <left style="thin">
        <color indexed="64"/>
      </left>
      <right style="thin">
        <color indexed="64"/>
      </right>
      <top style="medium">
        <color indexed="64"/>
      </top>
      <bottom/>
      <diagonal/>
    </border>
    <border>
      <left style="medium">
        <color rgb="FFFF0066"/>
      </left>
      <right style="medium">
        <color rgb="FFFF0066"/>
      </right>
      <top style="medium">
        <color indexed="64"/>
      </top>
      <bottom style="thin">
        <color indexed="64"/>
      </bottom>
      <diagonal/>
    </border>
    <border>
      <left style="medium">
        <color indexed="64"/>
      </left>
      <right/>
      <top style="medium">
        <color indexed="64"/>
      </top>
      <bottom style="thin">
        <color indexed="64"/>
      </bottom>
      <diagonal/>
    </border>
    <border>
      <left style="medium">
        <color rgb="FFFF6699"/>
      </left>
      <right style="medium">
        <color rgb="FFFF6699"/>
      </right>
      <top/>
      <bottom style="thin">
        <color indexed="64"/>
      </bottom>
      <diagonal/>
    </border>
    <border>
      <left style="medium">
        <color rgb="FFFF0066"/>
      </left>
      <right style="medium">
        <color rgb="FFFF0066"/>
      </right>
      <top style="thin">
        <color indexed="64"/>
      </top>
      <bottom style="thin">
        <color indexed="64"/>
      </bottom>
      <diagonal/>
    </border>
    <border>
      <left style="thin">
        <color indexed="64"/>
      </left>
      <right style="medium">
        <color rgb="FFFF6699"/>
      </right>
      <top style="thin">
        <color indexed="64"/>
      </top>
      <bottom style="thin">
        <color indexed="64"/>
      </bottom>
      <diagonal/>
    </border>
    <border>
      <left style="medium">
        <color rgb="FFFF6699"/>
      </left>
      <right style="medium">
        <color rgb="FFFF6699"/>
      </right>
      <top style="thin">
        <color indexed="64"/>
      </top>
      <bottom/>
      <diagonal/>
    </border>
    <border>
      <left style="medium">
        <color rgb="FFFF6699"/>
      </left>
      <right style="medium">
        <color rgb="FFFF6699"/>
      </right>
      <top style="thin">
        <color indexed="64"/>
      </top>
      <bottom style="thin">
        <color indexed="64"/>
      </bottom>
      <diagonal/>
    </border>
    <border>
      <left style="medium">
        <color rgb="FFFF0066"/>
      </left>
      <right/>
      <top style="thin">
        <color indexed="64"/>
      </top>
      <bottom style="thin">
        <color indexed="64"/>
      </bottom>
      <diagonal/>
    </border>
    <border>
      <left/>
      <right/>
      <top style="thin">
        <color indexed="64"/>
      </top>
      <bottom/>
      <diagonal/>
    </border>
    <border>
      <left style="medium">
        <color rgb="FFFF6699"/>
      </left>
      <right style="medium">
        <color rgb="FFFF6699"/>
      </right>
      <top/>
      <bottom/>
      <diagonal/>
    </border>
    <border>
      <left style="thin">
        <color indexed="64"/>
      </left>
      <right/>
      <top/>
      <bottom/>
      <diagonal/>
    </border>
    <border>
      <left style="medium">
        <color rgb="FFFF0066"/>
      </left>
      <right style="medium">
        <color rgb="FFFF0066"/>
      </right>
      <top style="thin">
        <color indexed="64"/>
      </top>
      <bottom/>
      <diagonal/>
    </border>
    <border>
      <left style="medium">
        <color indexed="64"/>
      </left>
      <right/>
      <top style="thin">
        <color indexed="64"/>
      </top>
      <bottom/>
      <diagonal/>
    </border>
    <border>
      <left style="medium">
        <color rgb="FFFF0066"/>
      </left>
      <right style="thin">
        <color indexed="64"/>
      </right>
      <top style="thin">
        <color indexed="64"/>
      </top>
      <bottom style="thin">
        <color indexed="64"/>
      </bottom>
      <diagonal/>
    </border>
    <border>
      <left style="medium">
        <color rgb="FFFF0066"/>
      </left>
      <right/>
      <top style="thin">
        <color indexed="64"/>
      </top>
      <bottom style="medium">
        <color indexed="64"/>
      </bottom>
      <diagonal/>
    </border>
    <border>
      <left style="medium">
        <color rgb="FFFF0066"/>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FF6699"/>
      </left>
      <right style="medium">
        <color rgb="FFFF6699"/>
      </right>
      <top/>
      <bottom style="medium">
        <color indexed="64"/>
      </bottom>
      <diagonal/>
    </border>
    <border>
      <left/>
      <right/>
      <top style="medium">
        <color indexed="64"/>
      </top>
      <bottom style="medium">
        <color indexed="64"/>
      </bottom>
      <diagonal/>
    </border>
    <border>
      <left style="medium">
        <color rgb="FFFF0066"/>
      </left>
      <right style="medium">
        <color rgb="FFFF0066"/>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22" fillId="0" borderId="0">
      <alignment vertical="center"/>
    </xf>
  </cellStyleXfs>
  <cellXfs count="361">
    <xf numFmtId="0" fontId="0" fillId="0" borderId="0" xfId="0">
      <alignment vertical="center"/>
    </xf>
    <xf numFmtId="0" fontId="10" fillId="0" borderId="0" xfId="1" applyFont="1" applyFill="1">
      <alignment vertical="center"/>
    </xf>
    <xf numFmtId="177" fontId="10" fillId="0" borderId="0" xfId="1" applyNumberFormat="1" applyFont="1" applyFill="1">
      <alignment vertical="center"/>
    </xf>
    <xf numFmtId="0" fontId="10" fillId="0" borderId="0" xfId="1" applyFont="1" applyAlignment="1">
      <alignment vertical="center" wrapText="1"/>
    </xf>
    <xf numFmtId="0" fontId="10" fillId="0" borderId="0" xfId="1" applyFont="1" applyAlignment="1">
      <alignment vertical="center" shrinkToFit="1"/>
    </xf>
    <xf numFmtId="0" fontId="17" fillId="0" borderId="0" xfId="1" applyFont="1" applyFill="1">
      <alignment vertical="center"/>
    </xf>
    <xf numFmtId="177" fontId="18" fillId="0" borderId="13" xfId="1" applyNumberFormat="1" applyFont="1" applyFill="1" applyBorder="1">
      <alignment vertical="center"/>
    </xf>
    <xf numFmtId="177" fontId="18" fillId="0" borderId="8" xfId="1" applyNumberFormat="1" applyFont="1" applyFill="1" applyBorder="1">
      <alignment vertical="center"/>
    </xf>
    <xf numFmtId="177" fontId="18" fillId="0" borderId="14" xfId="1" applyNumberFormat="1" applyFont="1" applyFill="1" applyBorder="1">
      <alignment vertical="center"/>
    </xf>
    <xf numFmtId="0" fontId="19" fillId="0" borderId="8" xfId="1" applyFont="1" applyFill="1" applyBorder="1" applyAlignment="1">
      <alignment vertical="center" wrapText="1"/>
    </xf>
    <xf numFmtId="0" fontId="18" fillId="0" borderId="3" xfId="1" applyFont="1" applyFill="1" applyBorder="1" applyAlignment="1">
      <alignment horizontal="center" vertical="center" shrinkToFit="1"/>
    </xf>
    <xf numFmtId="0" fontId="18" fillId="0" borderId="3" xfId="1" applyFont="1" applyBorder="1" applyAlignment="1">
      <alignment horizontal="center" vertical="center" shrinkToFit="1"/>
    </xf>
    <xf numFmtId="0" fontId="19" fillId="0" borderId="8" xfId="1" applyFont="1" applyBorder="1" applyAlignment="1">
      <alignment vertical="center" wrapText="1"/>
    </xf>
    <xf numFmtId="177" fontId="15" fillId="6" borderId="0" xfId="1" applyNumberFormat="1" applyFont="1" applyFill="1" applyBorder="1">
      <alignment vertical="center"/>
    </xf>
    <xf numFmtId="177" fontId="15" fillId="5" borderId="13" xfId="1" applyNumberFormat="1" applyFont="1" applyFill="1" applyBorder="1">
      <alignment vertical="center"/>
    </xf>
    <xf numFmtId="177" fontId="15" fillId="5" borderId="8" xfId="1" applyNumberFormat="1" applyFont="1" applyFill="1" applyBorder="1">
      <alignment vertical="center"/>
    </xf>
    <xf numFmtId="177" fontId="15" fillId="5" borderId="14" xfId="1" applyNumberFormat="1" applyFont="1" applyFill="1" applyBorder="1">
      <alignment vertical="center"/>
    </xf>
    <xf numFmtId="177" fontId="18" fillId="6" borderId="13" xfId="1" applyNumberFormat="1" applyFont="1" applyFill="1" applyBorder="1">
      <alignment vertical="center"/>
    </xf>
    <xf numFmtId="0" fontId="10" fillId="6" borderId="0" xfId="1" applyFont="1" applyFill="1">
      <alignment vertical="center"/>
    </xf>
    <xf numFmtId="177" fontId="18" fillId="6" borderId="8" xfId="1" applyNumberFormat="1" applyFont="1" applyFill="1" applyBorder="1">
      <alignment vertical="center"/>
    </xf>
    <xf numFmtId="177" fontId="18" fillId="6" borderId="14" xfId="1" applyNumberFormat="1" applyFont="1" applyFill="1" applyBorder="1">
      <alignment vertical="center"/>
    </xf>
    <xf numFmtId="177" fontId="18" fillId="6" borderId="17" xfId="1" applyNumberFormat="1" applyFont="1" applyFill="1" applyBorder="1">
      <alignment vertical="center"/>
    </xf>
    <xf numFmtId="177" fontId="18" fillId="0" borderId="17" xfId="1" applyNumberFormat="1" applyFont="1" applyFill="1" applyBorder="1">
      <alignment vertical="center"/>
    </xf>
    <xf numFmtId="0" fontId="10" fillId="0" borderId="0" xfId="1" applyFont="1" applyFill="1" applyAlignment="1">
      <alignment horizontal="left" vertical="top"/>
    </xf>
    <xf numFmtId="177" fontId="15" fillId="0" borderId="14" xfId="1" applyNumberFormat="1" applyFont="1" applyFill="1" applyBorder="1">
      <alignment vertical="center"/>
    </xf>
    <xf numFmtId="0" fontId="10" fillId="0" borderId="0" xfId="1" applyFont="1" applyFill="1" applyBorder="1">
      <alignment vertical="center"/>
    </xf>
    <xf numFmtId="177" fontId="15" fillId="5" borderId="17" xfId="1" applyNumberFormat="1" applyFont="1" applyFill="1" applyBorder="1">
      <alignment vertical="center"/>
    </xf>
    <xf numFmtId="0" fontId="24" fillId="0" borderId="0" xfId="0" applyFont="1">
      <alignment vertical="center"/>
    </xf>
    <xf numFmtId="0" fontId="25" fillId="0" borderId="0" xfId="0" applyFont="1" applyBorder="1" applyAlignme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6" fillId="4" borderId="6" xfId="0" applyFont="1" applyFill="1" applyBorder="1" applyAlignment="1">
      <alignment horizontal="center" vertical="center"/>
    </xf>
    <xf numFmtId="0" fontId="24" fillId="4" borderId="1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3" borderId="3" xfId="0" applyFont="1" applyFill="1" applyBorder="1" applyAlignment="1">
      <alignment vertical="center"/>
    </xf>
    <xf numFmtId="0" fontId="29" fillId="3" borderId="8" xfId="0" applyFont="1" applyFill="1" applyBorder="1" applyAlignment="1">
      <alignment vertical="center"/>
    </xf>
    <xf numFmtId="0" fontId="24" fillId="3" borderId="8" xfId="0" applyFont="1" applyFill="1" applyBorder="1">
      <alignment vertical="center"/>
    </xf>
    <xf numFmtId="0" fontId="25" fillId="0" borderId="3" xfId="0" applyFont="1" applyBorder="1" applyAlignment="1">
      <alignment horizontal="left" vertical="center" indent="2"/>
    </xf>
    <xf numFmtId="0" fontId="25" fillId="0" borderId="8" xfId="0" applyFont="1" applyBorder="1" applyAlignment="1">
      <alignment horizontal="left" vertical="center" wrapText="1"/>
    </xf>
    <xf numFmtId="0" fontId="25" fillId="0" borderId="8" xfId="0" applyFont="1" applyBorder="1" applyAlignment="1">
      <alignment horizontal="center" vertical="center"/>
    </xf>
    <xf numFmtId="176" fontId="25" fillId="0" borderId="8" xfId="0" applyNumberFormat="1" applyFont="1" applyBorder="1">
      <alignment vertical="center"/>
    </xf>
    <xf numFmtId="0" fontId="24" fillId="3" borderId="8" xfId="0" applyFont="1" applyFill="1" applyBorder="1" applyAlignment="1">
      <alignment vertical="center"/>
    </xf>
    <xf numFmtId="176" fontId="25" fillId="3" borderId="8" xfId="0" applyNumberFormat="1" applyFont="1" applyFill="1" applyBorder="1">
      <alignment vertical="center"/>
    </xf>
    <xf numFmtId="176" fontId="25" fillId="3" borderId="8" xfId="0" applyNumberFormat="1" applyFont="1" applyFill="1" applyBorder="1" applyAlignment="1">
      <alignment vertical="center"/>
    </xf>
    <xf numFmtId="0" fontId="29" fillId="2" borderId="8" xfId="0" applyFont="1" applyFill="1" applyBorder="1" applyAlignment="1">
      <alignment horizontal="center" vertical="center"/>
    </xf>
    <xf numFmtId="0" fontId="26" fillId="0" borderId="3" xfId="0" applyFont="1" applyBorder="1" applyAlignment="1">
      <alignment vertical="center"/>
    </xf>
    <xf numFmtId="0" fontId="29" fillId="0" borderId="8" xfId="0" applyFont="1" applyBorder="1" applyAlignment="1">
      <alignment vertical="center"/>
    </xf>
    <xf numFmtId="176" fontId="30" fillId="0" borderId="8" xfId="0" applyNumberFormat="1" applyFont="1" applyBorder="1">
      <alignment vertical="center"/>
    </xf>
    <xf numFmtId="0" fontId="26" fillId="0" borderId="0" xfId="0" applyFont="1">
      <alignment vertical="center"/>
    </xf>
    <xf numFmtId="0" fontId="24" fillId="0" borderId="12" xfId="0" applyFont="1" applyBorder="1" applyAlignment="1">
      <alignment horizontal="center" vertical="center"/>
    </xf>
    <xf numFmtId="0" fontId="29" fillId="0" borderId="10" xfId="0" applyFont="1" applyBorder="1">
      <alignment vertical="center"/>
    </xf>
    <xf numFmtId="0" fontId="24" fillId="4" borderId="11" xfId="0" applyFont="1" applyFill="1" applyBorder="1" applyAlignment="1">
      <alignment horizontal="center" vertical="center"/>
    </xf>
    <xf numFmtId="176" fontId="25" fillId="0" borderId="8" xfId="0" applyNumberFormat="1" applyFont="1" applyBorder="1" applyAlignment="1">
      <alignment horizontal="right" vertical="center"/>
    </xf>
    <xf numFmtId="0" fontId="25" fillId="0" borderId="13" xfId="0" applyFont="1" applyBorder="1" applyAlignment="1">
      <alignment horizontal="center" vertical="center"/>
    </xf>
    <xf numFmtId="0" fontId="24" fillId="0" borderId="3" xfId="0" applyFont="1" applyBorder="1">
      <alignment vertical="center"/>
    </xf>
    <xf numFmtId="176" fontId="25" fillId="0" borderId="13" xfId="0" applyNumberFormat="1" applyFont="1" applyBorder="1" applyAlignment="1">
      <alignment vertical="center"/>
    </xf>
    <xf numFmtId="0" fontId="1" fillId="4" borderId="7" xfId="0" applyFont="1" applyFill="1" applyBorder="1" applyAlignment="1">
      <alignment horizontal="center" vertical="center"/>
    </xf>
    <xf numFmtId="176" fontId="32" fillId="0" borderId="13" xfId="0" applyNumberFormat="1" applyFont="1" applyBorder="1" applyAlignment="1">
      <alignment vertical="center"/>
    </xf>
    <xf numFmtId="177" fontId="14" fillId="0" borderId="3" xfId="1" applyNumberFormat="1" applyFont="1" applyFill="1" applyBorder="1" applyAlignment="1">
      <alignment horizontal="center" vertical="center"/>
    </xf>
    <xf numFmtId="177" fontId="14" fillId="0" borderId="8" xfId="1" applyNumberFormat="1" applyFont="1" applyFill="1" applyBorder="1" applyAlignment="1">
      <alignment horizontal="center" vertical="center"/>
    </xf>
    <xf numFmtId="177" fontId="14" fillId="0" borderId="13" xfId="1" applyNumberFormat="1" applyFont="1" applyFill="1" applyBorder="1" applyAlignment="1">
      <alignment horizontal="center" vertical="center"/>
    </xf>
    <xf numFmtId="177" fontId="14" fillId="0" borderId="14" xfId="1" applyNumberFormat="1" applyFont="1" applyFill="1" applyBorder="1" applyAlignment="1">
      <alignment horizontal="center" vertical="center"/>
    </xf>
    <xf numFmtId="0" fontId="15" fillId="0" borderId="3" xfId="1" applyFont="1" applyBorder="1" applyAlignment="1">
      <alignment horizontal="center" vertical="center" shrinkToFit="1"/>
    </xf>
    <xf numFmtId="0" fontId="16" fillId="0" borderId="8" xfId="1" applyFont="1" applyBorder="1" applyAlignment="1">
      <alignment horizontal="center" vertical="center" wrapText="1"/>
    </xf>
    <xf numFmtId="0" fontId="15" fillId="0" borderId="13" xfId="1" applyFont="1" applyBorder="1" applyAlignment="1">
      <alignment horizontal="center" vertical="center" wrapText="1"/>
    </xf>
    <xf numFmtId="177" fontId="15" fillId="0" borderId="3" xfId="1" applyNumberFormat="1" applyFont="1" applyFill="1" applyBorder="1">
      <alignment vertical="center"/>
    </xf>
    <xf numFmtId="177" fontId="15" fillId="0" borderId="13" xfId="1" applyNumberFormat="1" applyFont="1" applyFill="1" applyBorder="1">
      <alignment vertical="center"/>
    </xf>
    <xf numFmtId="177" fontId="33" fillId="0" borderId="2" xfId="1" applyNumberFormat="1" applyFont="1" applyFill="1" applyBorder="1">
      <alignment vertical="center"/>
    </xf>
    <xf numFmtId="177" fontId="34" fillId="0" borderId="2" xfId="1" applyNumberFormat="1" applyFont="1" applyFill="1" applyBorder="1" applyAlignment="1">
      <alignment horizontal="left" vertical="center" wrapText="1"/>
    </xf>
    <xf numFmtId="0" fontId="19" fillId="0" borderId="13" xfId="1" applyFont="1" applyBorder="1" applyAlignment="1">
      <alignment horizontal="center" vertical="center" wrapText="1"/>
    </xf>
    <xf numFmtId="177" fontId="18" fillId="0" borderId="3" xfId="1" applyNumberFormat="1" applyFont="1" applyFill="1" applyBorder="1">
      <alignment vertical="center"/>
    </xf>
    <xf numFmtId="177" fontId="34" fillId="0" borderId="2" xfId="1" applyNumberFormat="1" applyFont="1" applyFill="1" applyBorder="1">
      <alignment vertical="center"/>
    </xf>
    <xf numFmtId="177" fontId="34" fillId="0" borderId="2" xfId="1" applyNumberFormat="1" applyFont="1" applyFill="1" applyBorder="1" applyAlignment="1">
      <alignment vertical="center" wrapText="1"/>
    </xf>
    <xf numFmtId="0" fontId="19" fillId="0" borderId="13" xfId="1" applyFont="1" applyFill="1" applyBorder="1" applyAlignment="1">
      <alignment horizontal="center" vertical="center" wrapText="1"/>
    </xf>
    <xf numFmtId="0" fontId="35" fillId="0" borderId="8" xfId="1" applyFont="1" applyBorder="1" applyAlignment="1">
      <alignment vertical="center" wrapText="1"/>
    </xf>
    <xf numFmtId="0" fontId="35" fillId="0" borderId="8" xfId="1" applyFont="1" applyFill="1" applyBorder="1" applyAlignment="1">
      <alignment vertical="center" wrapText="1"/>
    </xf>
    <xf numFmtId="0" fontId="23" fillId="6" borderId="3" xfId="1" applyFont="1" applyFill="1" applyBorder="1" applyAlignment="1">
      <alignment horizontal="center" vertical="center" shrinkToFit="1"/>
    </xf>
    <xf numFmtId="177" fontId="34" fillId="6" borderId="2" xfId="1" applyNumberFormat="1" applyFont="1" applyFill="1" applyBorder="1" applyAlignment="1">
      <alignment vertical="center" wrapText="1"/>
    </xf>
    <xf numFmtId="0" fontId="15" fillId="5" borderId="3" xfId="1" applyFont="1" applyFill="1" applyBorder="1" applyAlignment="1">
      <alignment horizontal="center" vertical="center" shrinkToFit="1"/>
    </xf>
    <xf numFmtId="0" fontId="20" fillId="5" borderId="8" xfId="1" applyFont="1" applyFill="1" applyBorder="1" applyAlignment="1">
      <alignment horizontal="right" vertical="center" wrapText="1"/>
    </xf>
    <xf numFmtId="0" fontId="15" fillId="5" borderId="13" xfId="1" applyFont="1" applyFill="1" applyBorder="1" applyAlignment="1">
      <alignment horizontal="center" vertical="center" wrapText="1"/>
    </xf>
    <xf numFmtId="177" fontId="15" fillId="5" borderId="3" xfId="1" applyNumberFormat="1" applyFont="1" applyFill="1" applyBorder="1">
      <alignment vertical="center"/>
    </xf>
    <xf numFmtId="177" fontId="33" fillId="5" borderId="2" xfId="1" applyNumberFormat="1" applyFont="1" applyFill="1" applyBorder="1">
      <alignment vertical="center"/>
    </xf>
    <xf numFmtId="177" fontId="18" fillId="0" borderId="34" xfId="1" applyNumberFormat="1" applyFont="1" applyFill="1" applyBorder="1">
      <alignment vertical="center"/>
    </xf>
    <xf numFmtId="0" fontId="19" fillId="6" borderId="8" xfId="1" applyFont="1" applyFill="1" applyBorder="1" applyAlignment="1">
      <alignment vertical="center" wrapText="1"/>
    </xf>
    <xf numFmtId="0" fontId="19" fillId="6" borderId="13" xfId="1" applyFont="1" applyFill="1" applyBorder="1" applyAlignment="1">
      <alignment horizontal="center" vertical="center" wrapText="1"/>
    </xf>
    <xf numFmtId="177" fontId="18" fillId="6" borderId="3" xfId="1" applyNumberFormat="1" applyFont="1" applyFill="1" applyBorder="1">
      <alignment vertical="center"/>
    </xf>
    <xf numFmtId="0" fontId="18" fillId="6" borderId="3" xfId="1" applyFont="1" applyFill="1" applyBorder="1" applyAlignment="1">
      <alignment horizontal="center" vertical="center" shrinkToFit="1"/>
    </xf>
    <xf numFmtId="0" fontId="11" fillId="0" borderId="13" xfId="1" applyFont="1" applyFill="1" applyBorder="1" applyAlignment="1">
      <alignment horizontal="center" vertical="center" wrapText="1"/>
    </xf>
    <xf numFmtId="177" fontId="34" fillId="6" borderId="2" xfId="1" applyNumberFormat="1" applyFont="1" applyFill="1" applyBorder="1" applyAlignment="1">
      <alignment horizontal="left" vertical="center" wrapText="1"/>
    </xf>
    <xf numFmtId="177" fontId="33" fillId="5" borderId="18" xfId="1" applyNumberFormat="1" applyFont="1" applyFill="1" applyBorder="1">
      <alignment vertical="center"/>
    </xf>
    <xf numFmtId="177" fontId="36" fillId="0" borderId="3" xfId="1" applyNumberFormat="1" applyFont="1" applyFill="1" applyBorder="1">
      <alignment vertical="center"/>
    </xf>
    <xf numFmtId="177" fontId="36" fillId="0" borderId="8" xfId="1" applyNumberFormat="1" applyFont="1" applyFill="1" applyBorder="1">
      <alignment vertical="center"/>
    </xf>
    <xf numFmtId="177" fontId="15" fillId="5" borderId="34" xfId="1" applyNumberFormat="1" applyFont="1" applyFill="1" applyBorder="1">
      <alignment vertical="center"/>
    </xf>
    <xf numFmtId="0" fontId="11" fillId="6" borderId="8" xfId="1" applyFont="1" applyFill="1" applyBorder="1" applyAlignment="1">
      <alignment vertical="center" wrapText="1"/>
    </xf>
    <xf numFmtId="177" fontId="34" fillId="0" borderId="18" xfId="1" applyNumberFormat="1" applyFont="1" applyFill="1" applyBorder="1">
      <alignment vertical="center"/>
    </xf>
    <xf numFmtId="0" fontId="19" fillId="6" borderId="8" xfId="1" applyFont="1" applyFill="1" applyBorder="1" applyAlignment="1">
      <alignment horizontal="left" vertical="center" wrapText="1"/>
    </xf>
    <xf numFmtId="0" fontId="19" fillId="0" borderId="8" xfId="1" applyFont="1" applyFill="1" applyBorder="1" applyAlignment="1">
      <alignment vertical="center" wrapText="1" shrinkToFit="1"/>
    </xf>
    <xf numFmtId="0" fontId="19" fillId="0" borderId="8" xfId="1" applyFont="1" applyFill="1" applyBorder="1" applyAlignment="1">
      <alignment horizontal="left" vertical="center" wrapText="1"/>
    </xf>
    <xf numFmtId="177" fontId="15" fillId="0" borderId="8" xfId="1" applyNumberFormat="1" applyFont="1" applyFill="1" applyBorder="1">
      <alignment vertical="center"/>
    </xf>
    <xf numFmtId="177" fontId="34" fillId="0" borderId="18" xfId="1" applyNumberFormat="1" applyFont="1" applyFill="1" applyBorder="1" applyAlignment="1">
      <alignment vertical="center" wrapText="1"/>
    </xf>
    <xf numFmtId="0" fontId="44" fillId="6" borderId="3" xfId="1" applyFont="1" applyFill="1" applyBorder="1" applyAlignment="1">
      <alignment horizontal="center" vertical="center" shrinkToFit="1"/>
    </xf>
    <xf numFmtId="177" fontId="34" fillId="0" borderId="18" xfId="1" applyNumberFormat="1" applyFont="1" applyFill="1" applyBorder="1" applyAlignment="1">
      <alignment horizontal="left" vertical="center" wrapText="1"/>
    </xf>
    <xf numFmtId="177" fontId="34" fillId="6" borderId="18" xfId="1" applyNumberFormat="1" applyFont="1" applyFill="1" applyBorder="1">
      <alignment vertical="center"/>
    </xf>
    <xf numFmtId="0" fontId="44" fillId="0" borderId="3" xfId="1" applyFont="1" applyFill="1" applyBorder="1" applyAlignment="1">
      <alignment horizontal="center" vertical="center" shrinkToFit="1"/>
    </xf>
    <xf numFmtId="177" fontId="34" fillId="6" borderId="18" xfId="1" applyNumberFormat="1" applyFont="1" applyFill="1" applyBorder="1" applyAlignment="1">
      <alignment vertical="center" wrapText="1"/>
    </xf>
    <xf numFmtId="177" fontId="46" fillId="0" borderId="18" xfId="1" applyNumberFormat="1" applyFont="1" applyFill="1" applyBorder="1" applyAlignment="1">
      <alignment vertical="center" wrapText="1"/>
    </xf>
    <xf numFmtId="0" fontId="18" fillId="0" borderId="8" xfId="1" applyFont="1" applyFill="1" applyBorder="1" applyAlignment="1">
      <alignment vertical="center" wrapText="1"/>
    </xf>
    <xf numFmtId="0" fontId="15" fillId="5" borderId="38" xfId="1" applyFont="1" applyFill="1" applyBorder="1" applyAlignment="1">
      <alignment horizontal="center" vertical="center" shrinkToFit="1"/>
    </xf>
    <xf numFmtId="0" fontId="20" fillId="5" borderId="32" xfId="1" applyFont="1" applyFill="1" applyBorder="1" applyAlignment="1">
      <alignment horizontal="right" vertical="center" wrapText="1"/>
    </xf>
    <xf numFmtId="0" fontId="15" fillId="5" borderId="36" xfId="1" applyFont="1" applyFill="1" applyBorder="1" applyAlignment="1">
      <alignment horizontal="center" vertical="center" wrapText="1"/>
    </xf>
    <xf numFmtId="177" fontId="15" fillId="5" borderId="38" xfId="1" applyNumberFormat="1" applyFont="1" applyFill="1" applyBorder="1">
      <alignment vertical="center"/>
    </xf>
    <xf numFmtId="177" fontId="15" fillId="5" borderId="32" xfId="1" applyNumberFormat="1" applyFont="1" applyFill="1" applyBorder="1">
      <alignment vertical="center"/>
    </xf>
    <xf numFmtId="177" fontId="15" fillId="5" borderId="36" xfId="1" applyNumberFormat="1" applyFont="1" applyFill="1" applyBorder="1">
      <alignment vertical="center"/>
    </xf>
    <xf numFmtId="177" fontId="33" fillId="5" borderId="37" xfId="1" applyNumberFormat="1" applyFont="1" applyFill="1" applyBorder="1">
      <alignment vertical="center"/>
    </xf>
    <xf numFmtId="0" fontId="17" fillId="6" borderId="0" xfId="1" applyFont="1" applyFill="1" applyBorder="1">
      <alignment vertical="center"/>
    </xf>
    <xf numFmtId="0" fontId="15" fillId="7" borderId="40" xfId="1" applyFont="1" applyFill="1" applyBorder="1" applyAlignment="1">
      <alignment horizontal="center" vertical="center" shrinkToFit="1"/>
    </xf>
    <xf numFmtId="0" fontId="20" fillId="7" borderId="32" xfId="1" applyFont="1" applyFill="1" applyBorder="1" applyAlignment="1">
      <alignment horizontal="right" vertical="center" wrapText="1"/>
    </xf>
    <xf numFmtId="177" fontId="15" fillId="7" borderId="27" xfId="1" applyNumberFormat="1" applyFont="1" applyFill="1" applyBorder="1">
      <alignment vertical="center"/>
    </xf>
    <xf numFmtId="177" fontId="15" fillId="7" borderId="26" xfId="1" applyNumberFormat="1" applyFont="1" applyFill="1" applyBorder="1">
      <alignment vertical="center"/>
    </xf>
    <xf numFmtId="177" fontId="15" fillId="7" borderId="0" xfId="1" applyNumberFormat="1" applyFont="1" applyFill="1" applyBorder="1">
      <alignment vertical="center"/>
    </xf>
    <xf numFmtId="177" fontId="15" fillId="7" borderId="33" xfId="1" applyNumberFormat="1" applyFont="1" applyFill="1" applyBorder="1">
      <alignment vertical="center"/>
    </xf>
    <xf numFmtId="177" fontId="15" fillId="7" borderId="10" xfId="1" applyNumberFormat="1" applyFont="1" applyFill="1" applyBorder="1">
      <alignment vertical="center"/>
    </xf>
    <xf numFmtId="177" fontId="33" fillId="7" borderId="42" xfId="1" applyNumberFormat="1" applyFont="1" applyFill="1" applyBorder="1">
      <alignment vertical="center"/>
    </xf>
    <xf numFmtId="177" fontId="15" fillId="5" borderId="41" xfId="1" applyNumberFormat="1" applyFont="1" applyFill="1" applyBorder="1">
      <alignment vertical="center"/>
    </xf>
    <xf numFmtId="177" fontId="34" fillId="0" borderId="8" xfId="1" applyNumberFormat="1" applyFont="1" applyFill="1" applyBorder="1">
      <alignment vertical="center"/>
    </xf>
    <xf numFmtId="177" fontId="34" fillId="0" borderId="8" xfId="1" applyNumberFormat="1" applyFont="1" applyFill="1" applyBorder="1" applyAlignment="1">
      <alignment vertical="center" wrapText="1"/>
    </xf>
    <xf numFmtId="0" fontId="21" fillId="0" borderId="8" xfId="1" applyFont="1" applyFill="1" applyBorder="1" applyAlignment="1">
      <alignment vertical="center" wrapText="1"/>
    </xf>
    <xf numFmtId="177" fontId="7" fillId="0" borderId="2" xfId="1" applyNumberFormat="1" applyFont="1" applyFill="1" applyBorder="1">
      <alignment vertical="center"/>
    </xf>
    <xf numFmtId="177" fontId="33" fillId="5" borderId="8" xfId="1" applyNumberFormat="1" applyFont="1" applyFill="1" applyBorder="1">
      <alignment vertical="center"/>
    </xf>
    <xf numFmtId="177" fontId="7" fillId="0" borderId="8" xfId="1" applyNumberFormat="1" applyFont="1" applyFill="1" applyBorder="1" applyAlignment="1">
      <alignment horizontal="left" vertical="center" wrapText="1"/>
    </xf>
    <xf numFmtId="177" fontId="39" fillId="0" borderId="8" xfId="1" applyNumberFormat="1" applyFont="1" applyFill="1" applyBorder="1">
      <alignment vertical="center"/>
    </xf>
    <xf numFmtId="0" fontId="21" fillId="6" borderId="13" xfId="1" applyFont="1" applyFill="1" applyBorder="1" applyAlignment="1">
      <alignment horizontal="center" vertical="center" wrapText="1"/>
    </xf>
    <xf numFmtId="0" fontId="15" fillId="7" borderId="2" xfId="1" applyFont="1" applyFill="1" applyBorder="1" applyAlignment="1">
      <alignment horizontal="center" vertical="center" wrapText="1"/>
    </xf>
    <xf numFmtId="177" fontId="15" fillId="7" borderId="39" xfId="1" applyNumberFormat="1" applyFont="1" applyFill="1" applyBorder="1">
      <alignment vertical="center"/>
    </xf>
    <xf numFmtId="177" fontId="15" fillId="7" borderId="32" xfId="1" applyNumberFormat="1" applyFont="1" applyFill="1" applyBorder="1">
      <alignment vertical="center"/>
    </xf>
    <xf numFmtId="177" fontId="15" fillId="7" borderId="28" xfId="1" applyNumberFormat="1" applyFont="1" applyFill="1" applyBorder="1">
      <alignment vertical="center"/>
    </xf>
    <xf numFmtId="177" fontId="33" fillId="7" borderId="2" xfId="1" applyNumberFormat="1" applyFont="1" applyFill="1" applyBorder="1">
      <alignment vertical="center"/>
    </xf>
    <xf numFmtId="0" fontId="15" fillId="7" borderId="12" xfId="1" applyFont="1" applyFill="1" applyBorder="1" applyAlignment="1">
      <alignment horizontal="center" vertical="center" shrinkToFit="1"/>
    </xf>
    <xf numFmtId="0" fontId="20" fillId="7" borderId="10" xfId="1" applyFont="1" applyFill="1" applyBorder="1" applyAlignment="1">
      <alignment horizontal="right" vertical="center" wrapText="1"/>
    </xf>
    <xf numFmtId="0" fontId="15" fillId="7" borderId="15" xfId="1" applyFont="1" applyFill="1" applyBorder="1" applyAlignment="1">
      <alignment horizontal="center" vertical="center" wrapText="1"/>
    </xf>
    <xf numFmtId="177" fontId="15" fillId="7" borderId="12" xfId="1" applyNumberFormat="1" applyFont="1" applyFill="1" applyBorder="1">
      <alignment vertical="center"/>
    </xf>
    <xf numFmtId="177" fontId="22" fillId="0" borderId="0" xfId="1" applyNumberFormat="1" applyFont="1" applyFill="1" applyAlignment="1">
      <alignment vertical="center" wrapText="1"/>
    </xf>
    <xf numFmtId="0" fontId="50" fillId="0" borderId="0" xfId="1" applyFont="1" applyAlignment="1">
      <alignment horizontal="left" vertical="center" wrapText="1" shrinkToFit="1"/>
    </xf>
    <xf numFmtId="177" fontId="51" fillId="0" borderId="0" xfId="1" applyNumberFormat="1" applyFont="1" applyFill="1" applyAlignment="1">
      <alignment horizontal="right" vertical="center"/>
    </xf>
    <xf numFmtId="177" fontId="50" fillId="0" borderId="0" xfId="1" applyNumberFormat="1" applyFont="1" applyFill="1" applyAlignment="1">
      <alignment horizontal="right" vertical="center"/>
    </xf>
    <xf numFmtId="177" fontId="52" fillId="0" borderId="0" xfId="1" applyNumberFormat="1" applyFont="1" applyFill="1" applyAlignment="1">
      <alignment horizontal="right" vertical="center" wrapText="1"/>
    </xf>
    <xf numFmtId="177" fontId="22" fillId="0" borderId="0" xfId="1" applyNumberFormat="1" applyFont="1" applyFill="1" applyAlignment="1">
      <alignment horizontal="right" vertical="center" wrapText="1"/>
    </xf>
    <xf numFmtId="177" fontId="14" fillId="0" borderId="45" xfId="1" applyNumberFormat="1" applyFont="1" applyFill="1" applyBorder="1" applyAlignment="1">
      <alignment horizontal="center" vertical="center" wrapText="1"/>
    </xf>
    <xf numFmtId="177" fontId="13" fillId="0" borderId="48" xfId="1" applyNumberFormat="1" applyFont="1" applyFill="1" applyBorder="1" applyAlignment="1">
      <alignment horizontal="center" vertical="center"/>
    </xf>
    <xf numFmtId="177" fontId="11" fillId="0" borderId="14" xfId="1" applyNumberFormat="1" applyFont="1" applyFill="1" applyBorder="1" applyAlignment="1">
      <alignment horizontal="center" vertical="center"/>
    </xf>
    <xf numFmtId="177" fontId="11" fillId="0" borderId="8" xfId="1" applyNumberFormat="1" applyFont="1" applyFill="1" applyBorder="1" applyAlignment="1">
      <alignment horizontal="center" vertical="center"/>
    </xf>
    <xf numFmtId="177" fontId="15" fillId="0" borderId="49" xfId="1" applyNumberFormat="1" applyFont="1" applyFill="1" applyBorder="1">
      <alignment vertical="center"/>
    </xf>
    <xf numFmtId="177" fontId="15" fillId="0" borderId="50" xfId="1" applyNumberFormat="1" applyFont="1" applyFill="1" applyBorder="1">
      <alignment vertical="center"/>
    </xf>
    <xf numFmtId="177" fontId="15" fillId="0" borderId="17" xfId="1" applyNumberFormat="1" applyFont="1" applyFill="1" applyBorder="1">
      <alignment vertical="center"/>
    </xf>
    <xf numFmtId="177" fontId="15" fillId="0" borderId="48" xfId="1" applyNumberFormat="1" applyFont="1" applyFill="1" applyBorder="1">
      <alignment vertical="center"/>
    </xf>
    <xf numFmtId="177" fontId="53" fillId="0" borderId="2" xfId="1" applyNumberFormat="1" applyFont="1" applyFill="1" applyBorder="1" applyAlignment="1">
      <alignment horizontal="left" vertical="center" wrapText="1"/>
    </xf>
    <xf numFmtId="177" fontId="54" fillId="0" borderId="14" xfId="1" applyNumberFormat="1" applyFont="1" applyFill="1" applyBorder="1">
      <alignment vertical="center"/>
    </xf>
    <xf numFmtId="177" fontId="55" fillId="0" borderId="2" xfId="1" applyNumberFormat="1" applyFont="1" applyFill="1" applyBorder="1" applyAlignment="1">
      <alignment vertical="center" wrapText="1"/>
    </xf>
    <xf numFmtId="177" fontId="18" fillId="0" borderId="51" xfId="1" applyNumberFormat="1" applyFont="1" applyFill="1" applyBorder="1">
      <alignment vertical="center"/>
    </xf>
    <xf numFmtId="177" fontId="18" fillId="0" borderId="48" xfId="1" applyNumberFormat="1" applyFont="1" applyFill="1" applyBorder="1">
      <alignment vertical="center"/>
    </xf>
    <xf numFmtId="177" fontId="53" fillId="0" borderId="2" xfId="1" applyNumberFormat="1" applyFont="1" applyFill="1" applyBorder="1" applyAlignment="1">
      <alignment vertical="center" wrapText="1"/>
    </xf>
    <xf numFmtId="177" fontId="14" fillId="0" borderId="14" xfId="1" applyNumberFormat="1" applyFont="1" applyFill="1" applyBorder="1">
      <alignment vertical="center"/>
    </xf>
    <xf numFmtId="177" fontId="14" fillId="0" borderId="8" xfId="1" applyNumberFormat="1" applyFont="1" applyFill="1" applyBorder="1">
      <alignment vertical="center"/>
    </xf>
    <xf numFmtId="177" fontId="14" fillId="0" borderId="13" xfId="1" applyNumberFormat="1" applyFont="1" applyFill="1" applyBorder="1">
      <alignment vertical="center"/>
    </xf>
    <xf numFmtId="177" fontId="22" fillId="0" borderId="2" xfId="1" applyNumberFormat="1" applyFont="1" applyFill="1" applyBorder="1" applyAlignment="1">
      <alignment vertical="center" wrapText="1"/>
    </xf>
    <xf numFmtId="177" fontId="15" fillId="5" borderId="51" xfId="1" applyNumberFormat="1" applyFont="1" applyFill="1" applyBorder="1">
      <alignment vertical="center"/>
    </xf>
    <xf numFmtId="177" fontId="15" fillId="5" borderId="48" xfId="1" applyNumberFormat="1" applyFont="1" applyFill="1" applyBorder="1">
      <alignment vertical="center"/>
    </xf>
    <xf numFmtId="177" fontId="33" fillId="5" borderId="2" xfId="1" applyNumberFormat="1" applyFont="1" applyFill="1" applyBorder="1" applyAlignment="1">
      <alignment vertical="center" wrapText="1"/>
    </xf>
    <xf numFmtId="177" fontId="56" fillId="5" borderId="2" xfId="1" applyNumberFormat="1" applyFont="1" applyFill="1" applyBorder="1" applyAlignment="1">
      <alignment vertical="center" wrapText="1"/>
    </xf>
    <xf numFmtId="177" fontId="54" fillId="5" borderId="14" xfId="1" applyNumberFormat="1" applyFont="1" applyFill="1" applyBorder="1">
      <alignment vertical="center"/>
    </xf>
    <xf numFmtId="177" fontId="54" fillId="5" borderId="8" xfId="1" applyNumberFormat="1" applyFont="1" applyFill="1" applyBorder="1">
      <alignment vertical="center"/>
    </xf>
    <xf numFmtId="177" fontId="54" fillId="5" borderId="13" xfId="1" applyNumberFormat="1" applyFont="1" applyFill="1" applyBorder="1">
      <alignment vertical="center"/>
    </xf>
    <xf numFmtId="177" fontId="57" fillId="5" borderId="2" xfId="1" applyNumberFormat="1" applyFont="1" applyFill="1" applyBorder="1" applyAlignment="1">
      <alignment vertical="center" wrapText="1"/>
    </xf>
    <xf numFmtId="177" fontId="34" fillId="0" borderId="2" xfId="1" applyNumberFormat="1" applyFont="1" applyFill="1" applyBorder="1" applyAlignment="1">
      <alignment vertical="top" wrapText="1"/>
    </xf>
    <xf numFmtId="177" fontId="22" fillId="0" borderId="2" xfId="1" applyNumberFormat="1" applyFill="1" applyBorder="1" applyAlignment="1">
      <alignment vertical="center" wrapText="1"/>
    </xf>
    <xf numFmtId="177" fontId="18" fillId="6" borderId="51" xfId="1" applyNumberFormat="1" applyFont="1" applyFill="1" applyBorder="1">
      <alignment vertical="center"/>
    </xf>
    <xf numFmtId="177" fontId="34" fillId="6" borderId="2" xfId="1" applyNumberFormat="1" applyFont="1" applyFill="1" applyBorder="1">
      <alignment vertical="center"/>
    </xf>
    <xf numFmtId="177" fontId="53" fillId="6" borderId="2" xfId="1" applyNumberFormat="1" applyFont="1" applyFill="1" applyBorder="1" applyAlignment="1">
      <alignment vertical="center" wrapText="1"/>
    </xf>
    <xf numFmtId="177" fontId="14" fillId="6" borderId="14" xfId="1" applyNumberFormat="1" applyFont="1" applyFill="1" applyBorder="1">
      <alignment vertical="center"/>
    </xf>
    <xf numFmtId="177" fontId="14" fillId="6" borderId="8" xfId="1" applyNumberFormat="1" applyFont="1" applyFill="1" applyBorder="1">
      <alignment vertical="center"/>
    </xf>
    <xf numFmtId="177" fontId="14" fillId="6" borderId="13" xfId="1" applyNumberFormat="1" applyFont="1" applyFill="1" applyBorder="1">
      <alignment vertical="center"/>
    </xf>
    <xf numFmtId="177" fontId="22" fillId="6" borderId="2" xfId="1" applyNumberFormat="1" applyFont="1" applyFill="1" applyBorder="1" applyAlignment="1">
      <alignment vertical="center" wrapText="1"/>
    </xf>
    <xf numFmtId="176" fontId="18" fillId="0" borderId="17" xfId="1" applyNumberFormat="1" applyFont="1" applyFill="1" applyBorder="1">
      <alignment vertical="center"/>
    </xf>
    <xf numFmtId="177" fontId="34" fillId="6" borderId="2" xfId="1" applyNumberFormat="1" applyFont="1" applyFill="1" applyBorder="1" applyAlignment="1">
      <alignment vertical="top" wrapText="1"/>
    </xf>
    <xf numFmtId="177" fontId="14" fillId="6" borderId="17" xfId="1" applyNumberFormat="1" applyFont="1" applyFill="1" applyBorder="1">
      <alignment vertical="center"/>
    </xf>
    <xf numFmtId="177" fontId="34" fillId="6" borderId="24" xfId="1" applyNumberFormat="1" applyFont="1" applyFill="1" applyBorder="1" applyAlignment="1">
      <alignment horizontal="left" vertical="center" wrapText="1"/>
    </xf>
    <xf numFmtId="176" fontId="15" fillId="5" borderId="17" xfId="1" applyNumberFormat="1" applyFont="1" applyFill="1" applyBorder="1">
      <alignment vertical="center"/>
    </xf>
    <xf numFmtId="177" fontId="18" fillId="0" borderId="47" xfId="1" applyNumberFormat="1" applyFont="1" applyFill="1" applyBorder="1">
      <alignment vertical="center"/>
    </xf>
    <xf numFmtId="177" fontId="34" fillId="0" borderId="35" xfId="1" applyNumberFormat="1" applyFont="1" applyFill="1" applyBorder="1" applyAlignment="1">
      <alignment vertical="center" wrapText="1"/>
    </xf>
    <xf numFmtId="177" fontId="34" fillId="0" borderId="24" xfId="1" applyNumberFormat="1" applyFont="1" applyFill="1" applyBorder="1" applyAlignment="1">
      <alignment vertical="center" wrapText="1"/>
    </xf>
    <xf numFmtId="177" fontId="14" fillId="0" borderId="17" xfId="1" applyNumberFormat="1" applyFont="1" applyFill="1" applyBorder="1">
      <alignment vertical="center"/>
    </xf>
    <xf numFmtId="176" fontId="18" fillId="0" borderId="13" xfId="1" applyNumberFormat="1" applyFont="1" applyFill="1" applyBorder="1">
      <alignment vertical="center"/>
    </xf>
    <xf numFmtId="177" fontId="36" fillId="0" borderId="14" xfId="1" applyNumberFormat="1" applyFont="1" applyFill="1" applyBorder="1">
      <alignment vertical="center"/>
    </xf>
    <xf numFmtId="177" fontId="46" fillId="0" borderId="2" xfId="1" applyNumberFormat="1" applyFont="1" applyFill="1" applyBorder="1" applyAlignment="1">
      <alignment vertical="center" wrapText="1"/>
    </xf>
    <xf numFmtId="177" fontId="18" fillId="6" borderId="48" xfId="1" applyNumberFormat="1" applyFont="1" applyFill="1" applyBorder="1">
      <alignment vertical="center"/>
    </xf>
    <xf numFmtId="177" fontId="24" fillId="6" borderId="2" xfId="1" applyNumberFormat="1" applyFont="1" applyFill="1" applyBorder="1" applyAlignment="1">
      <alignment vertical="center" wrapText="1"/>
    </xf>
    <xf numFmtId="177" fontId="58" fillId="6" borderId="2" xfId="1" applyNumberFormat="1" applyFont="1" applyFill="1" applyBorder="1" applyAlignment="1">
      <alignment vertical="center" wrapText="1"/>
    </xf>
    <xf numFmtId="178" fontId="18" fillId="6" borderId="17" xfId="1" applyNumberFormat="1" applyFont="1" applyFill="1" applyBorder="1">
      <alignment vertical="center"/>
    </xf>
    <xf numFmtId="177" fontId="10" fillId="0" borderId="2" xfId="1" applyNumberFormat="1" applyFont="1" applyFill="1" applyBorder="1" applyAlignment="1">
      <alignment vertical="center" wrapText="1"/>
    </xf>
    <xf numFmtId="177" fontId="52" fillId="0" borderId="2" xfId="1" applyNumberFormat="1" applyFont="1" applyFill="1" applyBorder="1" applyAlignment="1">
      <alignment vertical="center" wrapText="1"/>
    </xf>
    <xf numFmtId="177" fontId="34" fillId="6" borderId="1" xfId="1" applyNumberFormat="1" applyFont="1" applyFill="1" applyBorder="1" applyAlignment="1">
      <alignment vertical="center" wrapText="1"/>
    </xf>
    <xf numFmtId="177" fontId="34" fillId="6" borderId="2" xfId="1" applyNumberFormat="1" applyFont="1" applyFill="1" applyBorder="1" applyAlignment="1">
      <alignment horizontal="left" vertical="top" wrapText="1"/>
    </xf>
    <xf numFmtId="177" fontId="53" fillId="6" borderId="13" xfId="1" applyNumberFormat="1" applyFont="1" applyFill="1" applyBorder="1" applyAlignment="1">
      <alignment vertical="center" wrapText="1"/>
    </xf>
    <xf numFmtId="177" fontId="53" fillId="0" borderId="13" xfId="1" applyNumberFormat="1" applyFont="1" applyFill="1" applyBorder="1" applyAlignment="1">
      <alignment vertical="center" wrapText="1"/>
    </xf>
    <xf numFmtId="177" fontId="14" fillId="0" borderId="3" xfId="1" applyNumberFormat="1" applyFont="1" applyFill="1" applyBorder="1">
      <alignment vertical="center"/>
    </xf>
    <xf numFmtId="177" fontId="14" fillId="8" borderId="14" xfId="1" applyNumberFormat="1" applyFont="1" applyFill="1" applyBorder="1">
      <alignment vertical="center"/>
    </xf>
    <xf numFmtId="177" fontId="14" fillId="8" borderId="8" xfId="1" applyNumberFormat="1" applyFont="1" applyFill="1" applyBorder="1">
      <alignment vertical="center"/>
    </xf>
    <xf numFmtId="177" fontId="14" fillId="8" borderId="13" xfId="1" applyNumberFormat="1" applyFont="1" applyFill="1" applyBorder="1">
      <alignment vertical="center"/>
    </xf>
    <xf numFmtId="177" fontId="18" fillId="8" borderId="13" xfId="1" applyNumberFormat="1" applyFont="1" applyFill="1" applyBorder="1">
      <alignment vertical="center"/>
    </xf>
    <xf numFmtId="177" fontId="22" fillId="8" borderId="2" xfId="1" applyNumberFormat="1" applyFont="1" applyFill="1" applyBorder="1" applyAlignment="1">
      <alignment vertical="center" wrapText="1"/>
    </xf>
    <xf numFmtId="176" fontId="15" fillId="5" borderId="13" xfId="1" applyNumberFormat="1" applyFont="1" applyFill="1" applyBorder="1">
      <alignment vertical="center"/>
    </xf>
    <xf numFmtId="176" fontId="15" fillId="5" borderId="8" xfId="1" applyNumberFormat="1" applyFont="1" applyFill="1" applyBorder="1">
      <alignment vertical="center"/>
    </xf>
    <xf numFmtId="177" fontId="53" fillId="0" borderId="2" xfId="1" applyNumberFormat="1" applyFont="1" applyFill="1" applyBorder="1" applyAlignment="1">
      <alignment vertical="top" wrapText="1"/>
    </xf>
    <xf numFmtId="177" fontId="39" fillId="0" borderId="2" xfId="1" applyNumberFormat="1" applyFont="1" applyFill="1" applyBorder="1">
      <alignment vertical="center"/>
    </xf>
    <xf numFmtId="177" fontId="18" fillId="0" borderId="52" xfId="1" applyNumberFormat="1" applyFont="1" applyFill="1" applyBorder="1">
      <alignment vertical="center"/>
    </xf>
    <xf numFmtId="177" fontId="18" fillId="6" borderId="2" xfId="1" applyNumberFormat="1" applyFont="1" applyFill="1" applyBorder="1">
      <alignment vertical="center"/>
    </xf>
    <xf numFmtId="177" fontId="15" fillId="5" borderId="50" xfId="1" applyNumberFormat="1" applyFont="1" applyFill="1" applyBorder="1">
      <alignment vertical="center"/>
    </xf>
    <xf numFmtId="177" fontId="15" fillId="5" borderId="39" xfId="1" applyNumberFormat="1" applyFont="1" applyFill="1" applyBorder="1">
      <alignment vertical="center"/>
    </xf>
    <xf numFmtId="177" fontId="15" fillId="5" borderId="56" xfId="1" applyNumberFormat="1" applyFont="1" applyFill="1" applyBorder="1">
      <alignment vertical="center"/>
    </xf>
    <xf numFmtId="177" fontId="15" fillId="5" borderId="53" xfId="1" applyNumberFormat="1" applyFont="1" applyFill="1" applyBorder="1">
      <alignment vertical="center"/>
    </xf>
    <xf numFmtId="177" fontId="33" fillId="5" borderId="1" xfId="1" applyNumberFormat="1" applyFont="1" applyFill="1" applyBorder="1">
      <alignment vertical="center"/>
    </xf>
    <xf numFmtId="177" fontId="15" fillId="5" borderId="57" xfId="1" applyNumberFormat="1" applyFont="1" applyFill="1" applyBorder="1">
      <alignment vertical="center"/>
    </xf>
    <xf numFmtId="177" fontId="33" fillId="5" borderId="1" xfId="1" applyNumberFormat="1" applyFont="1" applyFill="1" applyBorder="1" applyAlignment="1">
      <alignment vertical="center" wrapText="1"/>
    </xf>
    <xf numFmtId="177" fontId="56" fillId="5" borderId="1" xfId="1" applyNumberFormat="1" applyFont="1" applyFill="1" applyBorder="1" applyAlignment="1">
      <alignment vertical="center" wrapText="1"/>
    </xf>
    <xf numFmtId="177" fontId="54" fillId="5" borderId="39" xfId="1" applyNumberFormat="1" applyFont="1" applyFill="1" applyBorder="1">
      <alignment vertical="center"/>
    </xf>
    <xf numFmtId="177" fontId="54" fillId="5" borderId="32" xfId="1" applyNumberFormat="1" applyFont="1" applyFill="1" applyBorder="1">
      <alignment vertical="center"/>
    </xf>
    <xf numFmtId="177" fontId="54" fillId="5" borderId="36" xfId="1" applyNumberFormat="1" applyFont="1" applyFill="1" applyBorder="1">
      <alignment vertical="center"/>
    </xf>
    <xf numFmtId="177" fontId="57" fillId="5" borderId="1" xfId="1" applyNumberFormat="1" applyFont="1" applyFill="1" applyBorder="1" applyAlignment="1">
      <alignment vertical="center" wrapText="1"/>
    </xf>
    <xf numFmtId="177" fontId="18" fillId="6" borderId="52" xfId="1" applyNumberFormat="1" applyFont="1" applyFill="1" applyBorder="1">
      <alignment vertical="center"/>
    </xf>
    <xf numFmtId="177" fontId="18" fillId="6" borderId="58" xfId="1" applyNumberFormat="1" applyFont="1" applyFill="1" applyBorder="1">
      <alignment vertical="center"/>
    </xf>
    <xf numFmtId="177" fontId="33" fillId="6" borderId="0" xfId="1" applyNumberFormat="1" applyFont="1" applyFill="1" applyBorder="1" applyAlignment="1">
      <alignment vertical="center" wrapText="1"/>
    </xf>
    <xf numFmtId="177" fontId="56" fillId="6" borderId="0" xfId="1" applyNumberFormat="1" applyFont="1" applyFill="1" applyBorder="1" applyAlignment="1">
      <alignment vertical="center" wrapText="1"/>
    </xf>
    <xf numFmtId="177" fontId="54" fillId="6" borderId="0" xfId="1" applyNumberFormat="1" applyFont="1" applyFill="1" applyBorder="1">
      <alignment vertical="center"/>
    </xf>
    <xf numFmtId="177" fontId="57" fillId="6" borderId="0" xfId="1" applyNumberFormat="1" applyFont="1" applyFill="1" applyBorder="1" applyAlignment="1">
      <alignment vertical="center" wrapText="1"/>
    </xf>
    <xf numFmtId="177" fontId="17" fillId="6" borderId="0" xfId="1" applyNumberFormat="1" applyFont="1" applyFill="1" applyBorder="1">
      <alignment vertical="center"/>
    </xf>
    <xf numFmtId="177" fontId="15" fillId="7" borderId="54" xfId="1" applyNumberFormat="1" applyFont="1" applyFill="1" applyBorder="1">
      <alignment vertical="center"/>
    </xf>
    <xf numFmtId="177" fontId="15" fillId="7" borderId="14" xfId="1" applyNumberFormat="1" applyFont="1" applyFill="1" applyBorder="1">
      <alignment vertical="center"/>
    </xf>
    <xf numFmtId="177" fontId="15" fillId="7" borderId="8" xfId="1" applyNumberFormat="1" applyFont="1" applyFill="1" applyBorder="1">
      <alignment vertical="center"/>
    </xf>
    <xf numFmtId="177" fontId="15" fillId="7" borderId="16" xfId="1" applyNumberFormat="1" applyFont="1" applyFill="1" applyBorder="1">
      <alignment vertical="center"/>
    </xf>
    <xf numFmtId="177" fontId="15" fillId="7" borderId="55" xfId="1" applyNumberFormat="1" applyFont="1" applyFill="1" applyBorder="1">
      <alignment vertical="center"/>
    </xf>
    <xf numFmtId="177" fontId="15" fillId="7" borderId="59" xfId="1" applyNumberFormat="1" applyFont="1" applyFill="1" applyBorder="1">
      <alignment vertical="center"/>
    </xf>
    <xf numFmtId="177" fontId="15" fillId="7" borderId="60" xfId="1" applyNumberFormat="1" applyFont="1" applyFill="1" applyBorder="1">
      <alignment vertical="center"/>
    </xf>
    <xf numFmtId="177" fontId="33" fillId="7" borderId="23" xfId="1" applyNumberFormat="1" applyFont="1" applyFill="1" applyBorder="1">
      <alignment vertical="center"/>
    </xf>
    <xf numFmtId="177" fontId="15" fillId="6" borderId="26" xfId="1" applyNumberFormat="1" applyFont="1" applyFill="1" applyBorder="1">
      <alignment vertical="center"/>
    </xf>
    <xf numFmtId="177" fontId="33" fillId="6" borderId="55" xfId="1" applyNumberFormat="1" applyFont="1" applyFill="1" applyBorder="1" applyAlignment="1">
      <alignment vertical="center" wrapText="1"/>
    </xf>
    <xf numFmtId="177" fontId="56" fillId="6" borderId="55" xfId="1" applyNumberFormat="1" applyFont="1" applyFill="1" applyBorder="1" applyAlignment="1">
      <alignment vertical="center" wrapText="1"/>
    </xf>
    <xf numFmtId="177" fontId="54" fillId="6" borderId="26" xfId="1" applyNumberFormat="1" applyFont="1" applyFill="1" applyBorder="1">
      <alignment vertical="center"/>
    </xf>
    <xf numFmtId="177" fontId="54" fillId="6" borderId="27" xfId="1" applyNumberFormat="1" applyFont="1" applyFill="1" applyBorder="1">
      <alignment vertical="center"/>
    </xf>
    <xf numFmtId="177" fontId="54" fillId="6" borderId="55" xfId="1" applyNumberFormat="1" applyFont="1" applyFill="1" applyBorder="1">
      <alignment vertical="center"/>
    </xf>
    <xf numFmtId="177" fontId="15" fillId="6" borderId="55" xfId="1" applyNumberFormat="1" applyFont="1" applyFill="1" applyBorder="1">
      <alignment vertical="center"/>
    </xf>
    <xf numFmtId="177" fontId="57" fillId="6" borderId="55" xfId="1" applyNumberFormat="1" applyFont="1" applyFill="1" applyBorder="1" applyAlignment="1">
      <alignment vertical="center" wrapText="1"/>
    </xf>
    <xf numFmtId="177" fontId="15" fillId="7" borderId="61" xfId="1" applyNumberFormat="1" applyFont="1" applyFill="1" applyBorder="1">
      <alignment vertical="center"/>
    </xf>
    <xf numFmtId="177" fontId="15" fillId="7" borderId="41" xfId="1" applyNumberFormat="1" applyFont="1" applyFill="1" applyBorder="1">
      <alignment vertical="center"/>
    </xf>
    <xf numFmtId="177" fontId="15" fillId="7" borderId="62" xfId="1" applyNumberFormat="1" applyFont="1" applyFill="1" applyBorder="1">
      <alignment vertical="center"/>
    </xf>
    <xf numFmtId="177" fontId="15" fillId="7" borderId="63" xfId="1" applyNumberFormat="1" applyFont="1" applyFill="1" applyBorder="1">
      <alignment vertical="center"/>
    </xf>
    <xf numFmtId="177" fontId="33" fillId="7" borderId="9" xfId="1" applyNumberFormat="1" applyFont="1" applyFill="1" applyBorder="1">
      <alignment vertical="center"/>
    </xf>
    <xf numFmtId="177" fontId="15" fillId="7" borderId="30" xfId="1" applyNumberFormat="1" applyFont="1" applyFill="1" applyBorder="1">
      <alignment vertical="center"/>
    </xf>
    <xf numFmtId="177" fontId="15" fillId="7" borderId="64" xfId="1" applyNumberFormat="1" applyFont="1" applyFill="1" applyBorder="1">
      <alignment vertical="center"/>
    </xf>
    <xf numFmtId="177" fontId="15" fillId="7" borderId="65" xfId="1" applyNumberFormat="1" applyFont="1" applyFill="1" applyBorder="1">
      <alignment vertical="center"/>
    </xf>
    <xf numFmtId="177" fontId="15" fillId="7" borderId="29" xfId="1" applyNumberFormat="1" applyFont="1" applyFill="1" applyBorder="1">
      <alignment vertical="center"/>
    </xf>
    <xf numFmtId="177" fontId="33" fillId="7" borderId="31" xfId="1" applyNumberFormat="1" applyFont="1" applyFill="1" applyBorder="1">
      <alignment vertical="center"/>
    </xf>
    <xf numFmtId="177" fontId="15" fillId="5" borderId="33" xfId="1" applyNumberFormat="1" applyFont="1" applyFill="1" applyBorder="1">
      <alignment vertical="center"/>
    </xf>
    <xf numFmtId="177" fontId="15" fillId="9" borderId="61" xfId="1" applyNumberFormat="1" applyFont="1" applyFill="1" applyBorder="1">
      <alignment vertical="center"/>
    </xf>
    <xf numFmtId="177" fontId="15" fillId="9" borderId="33" xfId="1" applyNumberFormat="1" applyFont="1" applyFill="1" applyBorder="1">
      <alignment vertical="center"/>
    </xf>
    <xf numFmtId="177" fontId="33" fillId="5" borderId="66" xfId="1" applyNumberFormat="1" applyFont="1" applyFill="1" applyBorder="1" applyAlignment="1">
      <alignment vertical="center" wrapText="1"/>
    </xf>
    <xf numFmtId="177" fontId="56" fillId="5" borderId="23" xfId="1" applyNumberFormat="1" applyFont="1" applyFill="1" applyBorder="1" applyAlignment="1">
      <alignment vertical="center" wrapText="1"/>
    </xf>
    <xf numFmtId="177" fontId="54" fillId="5" borderId="26" xfId="1" applyNumberFormat="1" applyFont="1" applyFill="1" applyBorder="1">
      <alignment vertical="center"/>
    </xf>
    <xf numFmtId="177" fontId="54" fillId="5" borderId="27" xfId="1" applyNumberFormat="1" applyFont="1" applyFill="1" applyBorder="1">
      <alignment vertical="center"/>
    </xf>
    <xf numFmtId="177" fontId="54" fillId="5" borderId="55" xfId="1" applyNumberFormat="1" applyFont="1" applyFill="1" applyBorder="1">
      <alignment vertical="center"/>
    </xf>
    <xf numFmtId="177" fontId="15" fillId="5" borderId="55" xfId="1" applyNumberFormat="1" applyFont="1" applyFill="1" applyBorder="1">
      <alignment vertical="center"/>
    </xf>
    <xf numFmtId="177" fontId="57" fillId="5" borderId="23" xfId="1" applyNumberFormat="1" applyFont="1" applyFill="1" applyBorder="1" applyAlignment="1">
      <alignment vertical="center" wrapText="1"/>
    </xf>
    <xf numFmtId="177" fontId="7" fillId="0" borderId="2" xfId="1" applyNumberFormat="1" applyFont="1" applyFill="1" applyBorder="1" applyAlignment="1">
      <alignment vertical="center" wrapText="1"/>
    </xf>
    <xf numFmtId="177" fontId="7" fillId="0" borderId="18" xfId="1" applyNumberFormat="1" applyFont="1" applyFill="1" applyBorder="1" applyAlignment="1">
      <alignment vertical="center" wrapText="1"/>
    </xf>
    <xf numFmtId="177" fontId="7" fillId="6" borderId="18" xfId="1" applyNumberFormat="1" applyFont="1" applyFill="1" applyBorder="1" applyAlignment="1">
      <alignment vertical="center" wrapText="1"/>
    </xf>
    <xf numFmtId="0" fontId="66" fillId="0" borderId="28" xfId="0" applyFont="1" applyFill="1" applyBorder="1" applyAlignment="1">
      <alignment vertical="center" wrapText="1"/>
    </xf>
    <xf numFmtId="0" fontId="67" fillId="0" borderId="28" xfId="0" applyFont="1" applyFill="1" applyBorder="1" applyAlignment="1">
      <alignment vertical="center" wrapText="1"/>
    </xf>
    <xf numFmtId="177" fontId="7" fillId="0" borderId="8" xfId="1" applyNumberFormat="1" applyFont="1" applyFill="1" applyBorder="1" applyAlignment="1">
      <alignment vertical="center" wrapText="1"/>
    </xf>
    <xf numFmtId="177" fontId="7" fillId="6" borderId="2" xfId="1" applyNumberFormat="1" applyFont="1" applyFill="1" applyBorder="1" applyAlignment="1">
      <alignment vertical="center" wrapText="1"/>
    </xf>
    <xf numFmtId="177" fontId="34" fillId="6" borderId="24" xfId="1" applyNumberFormat="1" applyFont="1" applyFill="1" applyBorder="1" applyAlignment="1">
      <alignment horizontal="left" vertical="center" wrapText="1"/>
    </xf>
    <xf numFmtId="177" fontId="68" fillId="0" borderId="2" xfId="1" applyNumberFormat="1" applyFont="1" applyFill="1" applyBorder="1" applyAlignment="1">
      <alignment vertical="center" wrapText="1"/>
    </xf>
    <xf numFmtId="177" fontId="34" fillId="0" borderId="18" xfId="1" applyNumberFormat="1" applyFont="1" applyBorder="1" applyAlignment="1">
      <alignment vertical="center" wrapText="1"/>
    </xf>
    <xf numFmtId="0" fontId="11" fillId="0" borderId="8" xfId="0" applyFont="1" applyBorder="1" applyAlignment="1">
      <alignment vertical="center" wrapText="1"/>
    </xf>
    <xf numFmtId="177" fontId="34" fillId="0" borderId="18" xfId="1" applyNumberFormat="1" applyFont="1" applyBorder="1" applyAlignment="1">
      <alignment horizontal="left" vertical="center" wrapText="1"/>
    </xf>
    <xf numFmtId="177" fontId="34" fillId="0" borderId="2" xfId="1" applyNumberFormat="1" applyFont="1" applyBorder="1" applyAlignment="1">
      <alignment vertical="center" wrapText="1"/>
    </xf>
    <xf numFmtId="0" fontId="44" fillId="0" borderId="3" xfId="1" applyFont="1" applyBorder="1" applyAlignment="1">
      <alignment horizontal="center" vertical="center" shrinkToFit="1"/>
    </xf>
    <xf numFmtId="177" fontId="7" fillId="6" borderId="2" xfId="1" applyNumberFormat="1" applyFont="1" applyFill="1" applyBorder="1" applyAlignment="1">
      <alignment horizontal="left" vertical="center" wrapText="1"/>
    </xf>
    <xf numFmtId="0" fontId="64" fillId="0" borderId="8" xfId="0" applyFont="1" applyBorder="1" applyAlignment="1">
      <alignment horizontal="left" vertical="center" wrapText="1"/>
    </xf>
    <xf numFmtId="0" fontId="68" fillId="0" borderId="1" xfId="0" applyFont="1" applyBorder="1" applyAlignment="1">
      <alignment horizontal="left" vertical="center" wrapText="1"/>
    </xf>
    <xf numFmtId="0" fontId="68" fillId="0" borderId="1" xfId="0" applyFont="1" applyBorder="1" applyAlignment="1">
      <alignment horizontal="left" vertical="top" wrapText="1"/>
    </xf>
    <xf numFmtId="0" fontId="69" fillId="0" borderId="28" xfId="0" applyFont="1" applyBorder="1" applyAlignment="1">
      <alignment vertical="center" wrapText="1"/>
    </xf>
    <xf numFmtId="0" fontId="71" fillId="0" borderId="28" xfId="0" applyFont="1" applyBorder="1" applyAlignment="1">
      <alignment vertical="center" wrapText="1"/>
    </xf>
    <xf numFmtId="177" fontId="34" fillId="0" borderId="8" xfId="1" applyNumberFormat="1" applyFont="1" applyBorder="1" applyAlignment="1">
      <alignment vertical="center" wrapText="1"/>
    </xf>
    <xf numFmtId="177" fontId="68" fillId="0" borderId="18" xfId="1" applyNumberFormat="1" applyFont="1" applyBorder="1" applyAlignment="1">
      <alignment vertical="center" wrapText="1"/>
    </xf>
    <xf numFmtId="0" fontId="68" fillId="0" borderId="24" xfId="0" applyFont="1" applyBorder="1" applyAlignment="1">
      <alignment horizontal="left" vertical="center" wrapText="1"/>
    </xf>
    <xf numFmtId="0" fontId="68" fillId="0" borderId="2" xfId="0" applyFont="1" applyBorder="1" applyAlignment="1">
      <alignment horizontal="left" vertical="center" wrapText="1"/>
    </xf>
    <xf numFmtId="177" fontId="68" fillId="0" borderId="2" xfId="1" applyNumberFormat="1" applyFont="1" applyBorder="1" applyAlignment="1">
      <alignment vertical="center" wrapText="1"/>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4" borderId="11" xfId="0" applyFont="1" applyFill="1" applyBorder="1" applyAlignment="1">
      <alignment horizontal="center" vertical="center"/>
    </xf>
    <xf numFmtId="0" fontId="29" fillId="0" borderId="15" xfId="0" applyFont="1" applyBorder="1">
      <alignment vertical="center"/>
    </xf>
    <xf numFmtId="0" fontId="29" fillId="0" borderId="19" xfId="0" applyFont="1" applyBorder="1">
      <alignment vertical="center"/>
    </xf>
    <xf numFmtId="0" fontId="29" fillId="0" borderId="16" xfId="0" applyFont="1" applyBorder="1">
      <alignment vertical="center"/>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24" fillId="0" borderId="1"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22" xfId="0" applyFont="1" applyFill="1" applyBorder="1" applyAlignment="1">
      <alignment horizontal="center" vertical="center"/>
    </xf>
    <xf numFmtId="0" fontId="25" fillId="0" borderId="13" xfId="0" applyFont="1" applyBorder="1" applyAlignment="1">
      <alignment horizontal="left" vertical="center" wrapText="1"/>
    </xf>
    <xf numFmtId="0" fontId="25" fillId="0" borderId="18" xfId="0" applyFont="1" applyBorder="1" applyAlignment="1">
      <alignment horizontal="left" vertical="center" wrapText="1"/>
    </xf>
    <xf numFmtId="0" fontId="73" fillId="0" borderId="12" xfId="0" applyFont="1" applyBorder="1" applyAlignment="1">
      <alignment horizontal="left" vertical="top" wrapText="1"/>
    </xf>
    <xf numFmtId="0" fontId="24" fillId="0" borderId="10" xfId="0" applyFont="1" applyBorder="1" applyAlignment="1">
      <alignment horizontal="left" vertical="top" wrapText="1"/>
    </xf>
    <xf numFmtId="0" fontId="24" fillId="0" borderId="9" xfId="0" applyFont="1" applyBorder="1" applyAlignment="1">
      <alignment horizontal="left" vertical="top" wrapText="1"/>
    </xf>
    <xf numFmtId="176" fontId="25" fillId="0" borderId="8" xfId="0" applyNumberFormat="1" applyFont="1" applyBorder="1" applyAlignment="1">
      <alignment horizontal="right" vertical="center"/>
    </xf>
    <xf numFmtId="176" fontId="25" fillId="0" borderId="13" xfId="0" applyNumberFormat="1" applyFont="1" applyBorder="1" applyAlignment="1">
      <alignment horizontal="center" vertical="center"/>
    </xf>
    <xf numFmtId="176" fontId="25" fillId="0" borderId="18" xfId="0" applyNumberFormat="1" applyFont="1" applyBorder="1" applyAlignment="1">
      <alignment horizontal="center" vertical="center"/>
    </xf>
    <xf numFmtId="0" fontId="18" fillId="0" borderId="0" xfId="1" applyFont="1" applyFill="1" applyAlignment="1">
      <alignment horizontal="left" vertical="center" wrapText="1" shrinkToFit="1"/>
    </xf>
    <xf numFmtId="177" fontId="53" fillId="0" borderId="1" xfId="1" applyNumberFormat="1" applyFont="1" applyFill="1" applyBorder="1" applyAlignment="1">
      <alignment horizontal="left" vertical="top" wrapText="1"/>
    </xf>
    <xf numFmtId="177" fontId="53" fillId="0" borderId="23" xfId="1" applyNumberFormat="1" applyFont="1" applyFill="1" applyBorder="1" applyAlignment="1">
      <alignment horizontal="left" vertical="top" wrapText="1"/>
    </xf>
    <xf numFmtId="177" fontId="53" fillId="0" borderId="24" xfId="1" applyNumberFormat="1" applyFont="1" applyFill="1" applyBorder="1" applyAlignment="1">
      <alignment horizontal="left" vertical="top" wrapText="1"/>
    </xf>
    <xf numFmtId="177" fontId="53" fillId="6" borderId="1" xfId="1" applyNumberFormat="1" applyFont="1" applyFill="1" applyBorder="1" applyAlignment="1">
      <alignment horizontal="left" vertical="center" wrapText="1"/>
    </xf>
    <xf numFmtId="177" fontId="53" fillId="6" borderId="24" xfId="1" applyNumberFormat="1" applyFont="1" applyFill="1" applyBorder="1" applyAlignment="1">
      <alignment horizontal="left" vertical="center" wrapText="1"/>
    </xf>
    <xf numFmtId="177" fontId="34" fillId="0" borderId="1" xfId="1" applyNumberFormat="1" applyFont="1" applyFill="1" applyBorder="1" applyAlignment="1">
      <alignment horizontal="left" vertical="top" wrapText="1"/>
    </xf>
    <xf numFmtId="177" fontId="34" fillId="0" borderId="23" xfId="1" applyNumberFormat="1" applyFont="1" applyFill="1" applyBorder="1" applyAlignment="1">
      <alignment horizontal="left" vertical="top" wrapText="1"/>
    </xf>
    <xf numFmtId="177" fontId="34" fillId="0" borderId="24" xfId="1" applyNumberFormat="1" applyFont="1" applyFill="1" applyBorder="1" applyAlignment="1">
      <alignment horizontal="left" vertical="top" wrapText="1"/>
    </xf>
    <xf numFmtId="177" fontId="34" fillId="0" borderId="1" xfId="1" applyNumberFormat="1" applyFont="1" applyFill="1" applyBorder="1" applyAlignment="1">
      <alignment horizontal="left" vertical="center" wrapText="1"/>
    </xf>
    <xf numFmtId="177" fontId="34" fillId="0" borderId="23" xfId="1" applyNumberFormat="1" applyFont="1" applyFill="1" applyBorder="1" applyAlignment="1">
      <alignment horizontal="left" vertical="center" wrapText="1"/>
    </xf>
    <xf numFmtId="177" fontId="34" fillId="0" borderId="24" xfId="1" applyNumberFormat="1" applyFont="1" applyFill="1" applyBorder="1" applyAlignment="1">
      <alignment horizontal="left" vertical="center" wrapText="1"/>
    </xf>
    <xf numFmtId="177" fontId="13" fillId="0" borderId="7" xfId="1" applyNumberFormat="1" applyFont="1" applyFill="1" applyBorder="1" applyAlignment="1">
      <alignment horizontal="center" vertical="center" wrapText="1"/>
    </xf>
    <xf numFmtId="177" fontId="13" fillId="0" borderId="21" xfId="1" applyNumberFormat="1" applyFont="1" applyFill="1" applyBorder="1" applyAlignment="1">
      <alignment horizontal="center" vertical="center"/>
    </xf>
    <xf numFmtId="177" fontId="13" fillId="0" borderId="5" xfId="1" applyNumberFormat="1" applyFont="1" applyFill="1" applyBorder="1" applyAlignment="1">
      <alignment horizontal="center" vertical="center"/>
    </xf>
    <xf numFmtId="177" fontId="11" fillId="0" borderId="4" xfId="1" applyNumberFormat="1" applyFont="1" applyFill="1" applyBorder="1" applyAlignment="1">
      <alignment horizontal="center" vertical="center" wrapText="1"/>
    </xf>
    <xf numFmtId="177" fontId="11" fillId="0" borderId="2" xfId="1" applyNumberFormat="1" applyFont="1" applyFill="1" applyBorder="1" applyAlignment="1">
      <alignment horizontal="center" vertical="center" wrapText="1"/>
    </xf>
    <xf numFmtId="177" fontId="14" fillId="0" borderId="5" xfId="1" applyNumberFormat="1" applyFont="1" applyFill="1" applyBorder="1" applyAlignment="1">
      <alignment horizontal="center" vertical="center" wrapText="1"/>
    </xf>
    <xf numFmtId="177" fontId="14" fillId="0" borderId="11" xfId="1" applyNumberFormat="1" applyFont="1" applyFill="1" applyBorder="1" applyAlignment="1">
      <alignment horizontal="center" vertical="center"/>
    </xf>
    <xf numFmtId="177" fontId="14" fillId="0" borderId="5" xfId="1" applyNumberFormat="1" applyFont="1" applyFill="1" applyBorder="1" applyAlignment="1">
      <alignment horizontal="center" vertical="center"/>
    </xf>
    <xf numFmtId="177" fontId="14" fillId="0" borderId="4" xfId="1" applyNumberFormat="1" applyFont="1" applyFill="1" applyBorder="1" applyAlignment="1">
      <alignment horizontal="center" vertical="center" wrapText="1"/>
    </xf>
    <xf numFmtId="177" fontId="14" fillId="0" borderId="2" xfId="1" applyNumberFormat="1" applyFont="1" applyFill="1" applyBorder="1" applyAlignment="1">
      <alignment horizontal="center" vertical="center" wrapText="1"/>
    </xf>
    <xf numFmtId="177" fontId="14" fillId="0" borderId="25" xfId="1" applyNumberFormat="1" applyFont="1" applyFill="1" applyBorder="1" applyAlignment="1">
      <alignment horizontal="center" vertical="center"/>
    </xf>
    <xf numFmtId="177" fontId="14" fillId="0" borderId="24" xfId="1" applyNumberFormat="1" applyFont="1" applyFill="1" applyBorder="1" applyAlignment="1">
      <alignment horizontal="center" vertical="center"/>
    </xf>
    <xf numFmtId="177" fontId="14" fillId="0" borderId="7" xfId="1" applyNumberFormat="1" applyFont="1" applyFill="1" applyBorder="1" applyAlignment="1">
      <alignment horizontal="center" vertical="center" wrapText="1"/>
    </xf>
    <xf numFmtId="177" fontId="14" fillId="0" borderId="21" xfId="1" applyNumberFormat="1" applyFont="1" applyFill="1" applyBorder="1" applyAlignment="1">
      <alignment horizontal="center" vertical="center"/>
    </xf>
    <xf numFmtId="177" fontId="14" fillId="0" borderId="46" xfId="1" applyNumberFormat="1" applyFont="1" applyFill="1" applyBorder="1" applyAlignment="1">
      <alignment horizontal="center" vertical="center" wrapText="1"/>
    </xf>
    <xf numFmtId="177" fontId="14" fillId="0" borderId="44" xfId="1" applyNumberFormat="1" applyFont="1" applyFill="1" applyBorder="1" applyAlignment="1">
      <alignment horizontal="center" vertical="center" wrapText="1"/>
    </xf>
    <xf numFmtId="177" fontId="14" fillId="0" borderId="28" xfId="1" applyNumberFormat="1" applyFont="1" applyFill="1" applyBorder="1" applyAlignment="1">
      <alignment horizontal="center" vertical="center" wrapText="1"/>
    </xf>
    <xf numFmtId="0" fontId="7" fillId="0" borderId="0" xfId="1" applyFont="1" applyAlignment="1">
      <alignment horizontal="left" vertical="center"/>
    </xf>
    <xf numFmtId="0" fontId="14" fillId="0" borderId="6" xfId="1" applyFont="1" applyBorder="1" applyAlignment="1">
      <alignment horizontal="center" vertical="center" wrapText="1" shrinkToFit="1"/>
    </xf>
    <xf numFmtId="0" fontId="14" fillId="0" borderId="3" xfId="1" applyFont="1" applyBorder="1" applyAlignment="1">
      <alignment horizontal="center" vertical="center" shrinkToFit="1"/>
    </xf>
    <xf numFmtId="0" fontId="14" fillId="0" borderId="11"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3" xfId="1" applyFont="1" applyBorder="1" applyAlignment="1">
      <alignment horizontal="center" vertical="center" wrapText="1"/>
    </xf>
    <xf numFmtId="177" fontId="14" fillId="0" borderId="6" xfId="1" applyNumberFormat="1" applyFont="1" applyFill="1" applyBorder="1" applyAlignment="1">
      <alignment horizontal="center" vertical="center"/>
    </xf>
    <xf numFmtId="177" fontId="14" fillId="0" borderId="7" xfId="1" applyNumberFormat="1" applyFont="1" applyFill="1" applyBorder="1" applyAlignment="1">
      <alignment horizontal="center" vertical="center"/>
    </xf>
    <xf numFmtId="0" fontId="19" fillId="0" borderId="0" xfId="1" applyFont="1" applyAlignment="1">
      <alignment horizontal="center" vertical="center"/>
    </xf>
    <xf numFmtId="177" fontId="14" fillId="0" borderId="43" xfId="1" applyNumberFormat="1" applyFont="1" applyFill="1" applyBorder="1" applyAlignment="1">
      <alignment horizontal="center" vertical="center" wrapText="1"/>
    </xf>
    <xf numFmtId="177" fontId="14" fillId="0" borderId="47" xfId="1" applyNumberFormat="1" applyFont="1" applyFill="1" applyBorder="1" applyAlignment="1">
      <alignment horizontal="center" vertical="center" wrapText="1"/>
    </xf>
    <xf numFmtId="177" fontId="14" fillId="0" borderId="21" xfId="1" applyNumberFormat="1" applyFont="1" applyFill="1" applyBorder="1" applyAlignment="1">
      <alignment horizontal="center" vertical="center" wrapText="1"/>
    </xf>
  </cellXfs>
  <cellStyles count="2">
    <cellStyle name="一般" xfId="0" builtinId="0"/>
    <cellStyle name="一般 2" xfId="1" xr:uid="{00000000-0005-0000-0000-000001000000}"/>
  </cellStyles>
  <dxfs count="0"/>
  <tableStyles count="0" defaultTableStyle="TableStyleMedium9" defaultPivotStyle="PivotStyleLight16"/>
  <colors>
    <mruColors>
      <color rgb="FFCCFFFF"/>
      <color rgb="FF99CCFF"/>
      <color rgb="FFCCECFF"/>
      <color rgb="FFCCFFCC"/>
      <color rgb="FFFFFFCC"/>
      <color rgb="FF66CCFF"/>
      <color rgb="FF99FF99"/>
      <color rgb="FF99FFCC"/>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206189</xdr:colOff>
      <xdr:row>3</xdr:row>
      <xdr:rowOff>242047</xdr:rowOff>
    </xdr:from>
    <xdr:to>
      <xdr:col>0</xdr:col>
      <xdr:colOff>829235</xdr:colOff>
      <xdr:row>3</xdr:row>
      <xdr:rowOff>537882</xdr:rowOff>
    </xdr:to>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206189" y="992841"/>
          <a:ext cx="623046" cy="295835"/>
        </a:xfrm>
        <a:prstGeom prst="rect">
          <a:avLst/>
        </a:prstGeom>
        <a:solidFill>
          <a:srgbClr val="99C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TW" altLang="en-US" sz="1400">
              <a:latin typeface="標楷體" pitchFamily="65" charset="-120"/>
              <a:ea typeface="標楷體" pitchFamily="65" charset="-120"/>
            </a:rPr>
            <a:t>表一</a:t>
          </a:r>
        </a:p>
      </xdr:txBody>
    </xdr:sp>
    <xdr:clientData/>
  </xdr:twoCellAnchor>
  <xdr:twoCellAnchor>
    <xdr:from>
      <xdr:col>0</xdr:col>
      <xdr:colOff>53788</xdr:colOff>
      <xdr:row>17</xdr:row>
      <xdr:rowOff>35857</xdr:rowOff>
    </xdr:from>
    <xdr:to>
      <xdr:col>0</xdr:col>
      <xdr:colOff>636493</xdr:colOff>
      <xdr:row>17</xdr:row>
      <xdr:rowOff>224116</xdr:rowOff>
    </xdr:to>
    <xdr:sp macro="" textlink="">
      <xdr:nvSpPr>
        <xdr:cNvPr id="5" name="文字方塊 4">
          <a:extLst>
            <a:ext uri="{FF2B5EF4-FFF2-40B4-BE49-F238E27FC236}">
              <a16:creationId xmlns:a16="http://schemas.microsoft.com/office/drawing/2014/main" id="{00000000-0008-0000-0000-000005000000}"/>
            </a:ext>
          </a:extLst>
        </xdr:cNvPr>
        <xdr:cNvSpPr txBox="1"/>
      </xdr:nvSpPr>
      <xdr:spPr>
        <a:xfrm>
          <a:off x="53788" y="5414681"/>
          <a:ext cx="582705" cy="188259"/>
        </a:xfrm>
        <a:prstGeom prst="rect">
          <a:avLst/>
        </a:prstGeom>
        <a:solidFill>
          <a:srgbClr val="99C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zh-TW" altLang="en-US" sz="1400">
              <a:latin typeface="標楷體" pitchFamily="65" charset="-120"/>
              <a:ea typeface="標楷體" pitchFamily="65" charset="-120"/>
            </a:rPr>
            <a:t>表二</a:t>
          </a:r>
          <a:endParaRPr lang="en-US" altLang="zh-TW" sz="1400">
            <a:latin typeface="標楷體" pitchFamily="65" charset="-120"/>
            <a:ea typeface="標楷體" pitchFamily="65" charset="-12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2095500</xdr:colOff>
      <xdr:row>0</xdr:row>
      <xdr:rowOff>228600</xdr:rowOff>
    </xdr:from>
    <xdr:to>
      <xdr:col>39</xdr:col>
      <xdr:colOff>3181350</xdr:colOff>
      <xdr:row>2</xdr:row>
      <xdr:rowOff>76200</xdr:rowOff>
    </xdr:to>
    <xdr:sp macro="" textlink="">
      <xdr:nvSpPr>
        <xdr:cNvPr id="4" name="矩形 3">
          <a:extLst>
            <a:ext uri="{FF2B5EF4-FFF2-40B4-BE49-F238E27FC236}">
              <a16:creationId xmlns:a16="http://schemas.microsoft.com/office/drawing/2014/main" id="{00000000-0008-0000-0100-000004000000}"/>
            </a:ext>
          </a:extLst>
        </xdr:cNvPr>
        <xdr:cNvSpPr/>
      </xdr:nvSpPr>
      <xdr:spPr>
        <a:xfrm>
          <a:off x="28956000" y="228600"/>
          <a:ext cx="0" cy="419100"/>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zh-TW" altLang="en-US" sz="2000">
              <a:solidFill>
                <a:schemeClr val="tx2">
                  <a:lumMod val="75000"/>
                </a:schemeClr>
              </a:solidFill>
              <a:latin typeface="Times New Roman" panose="02020603050405020304" pitchFamily="18" charset="0"/>
              <a:ea typeface="標楷體" panose="03000509000000000000" pitchFamily="65" charset="-120"/>
              <a:cs typeface="Times New Roman" panose="02020603050405020304" pitchFamily="18" charset="0"/>
            </a:rPr>
            <a:t>附件</a:t>
          </a:r>
          <a:r>
            <a:rPr lang="en-US" altLang="zh-TW" sz="2000">
              <a:solidFill>
                <a:schemeClr val="tx2">
                  <a:lumMod val="75000"/>
                </a:schemeClr>
              </a:solidFill>
              <a:latin typeface="Times New Roman" panose="02020603050405020304" pitchFamily="18" charset="0"/>
              <a:ea typeface="標楷體" panose="03000509000000000000" pitchFamily="65" charset="-120"/>
              <a:cs typeface="Times New Roman" panose="02020603050405020304" pitchFamily="18" charset="0"/>
            </a:rPr>
            <a:t>4</a:t>
          </a:r>
          <a:endParaRPr lang="zh-TW" altLang="en-US" sz="2000">
            <a:solidFill>
              <a:schemeClr val="tx2">
                <a:lumMod val="75000"/>
              </a:schemeClr>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27</xdr:col>
      <xdr:colOff>1619250</xdr:colOff>
      <xdr:row>0</xdr:row>
      <xdr:rowOff>152400</xdr:rowOff>
    </xdr:from>
    <xdr:to>
      <xdr:col>27</xdr:col>
      <xdr:colOff>2819400</xdr:colOff>
      <xdr:row>2</xdr:row>
      <xdr:rowOff>171450</xdr:rowOff>
    </xdr:to>
    <xdr:sp macro="" textlink="">
      <xdr:nvSpPr>
        <xdr:cNvPr id="5" name="矩形 4">
          <a:extLst>
            <a:ext uri="{FF2B5EF4-FFF2-40B4-BE49-F238E27FC236}">
              <a16:creationId xmlns:a16="http://schemas.microsoft.com/office/drawing/2014/main" id="{00000000-0008-0000-0100-000005000000}"/>
            </a:ext>
          </a:extLst>
        </xdr:cNvPr>
        <xdr:cNvSpPr/>
      </xdr:nvSpPr>
      <xdr:spPr>
        <a:xfrm>
          <a:off x="26831925" y="152400"/>
          <a:ext cx="1200150" cy="59055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zh-TW" altLang="en-US" sz="2800">
              <a:solidFill>
                <a:srgbClr val="0070C0"/>
              </a:solidFill>
              <a:latin typeface="Times New Roman" panose="02020603050405020304" pitchFamily="18" charset="0"/>
              <a:ea typeface="標楷體" panose="03000509000000000000" pitchFamily="65" charset="-120"/>
              <a:cs typeface="Times New Roman" panose="02020603050405020304" pitchFamily="18" charset="0"/>
            </a:rPr>
            <a:t>附件</a:t>
          </a:r>
          <a:r>
            <a:rPr lang="en-US" altLang="zh-TW" sz="2800">
              <a:solidFill>
                <a:srgbClr val="0070C0"/>
              </a:solidFill>
              <a:latin typeface="Times New Roman" panose="02020603050405020304" pitchFamily="18" charset="0"/>
              <a:ea typeface="標楷體" panose="03000509000000000000" pitchFamily="65" charset="-120"/>
              <a:cs typeface="Times New Roman" panose="02020603050405020304" pitchFamily="18" charset="0"/>
            </a:rPr>
            <a:t>4</a:t>
          </a:r>
          <a:endParaRPr lang="zh-TW" altLang="en-US" sz="2800">
            <a:solidFill>
              <a:srgbClr val="0070C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zoomScale="85" zoomScaleNormal="85" workbookViewId="0">
      <selection activeCell="E19" sqref="E19"/>
    </sheetView>
  </sheetViews>
  <sheetFormatPr defaultColWidth="8.875" defaultRowHeight="18.75" x14ac:dyDescent="0.25"/>
  <cols>
    <col min="1" max="1" width="51.625" style="27" customWidth="1"/>
    <col min="2" max="2" width="7.25" style="27" customWidth="1"/>
    <col min="3" max="3" width="11.625" style="29" customWidth="1"/>
    <col min="4" max="4" width="19.125" style="29" customWidth="1"/>
    <col min="5" max="5" width="21.875" style="29" customWidth="1"/>
    <col min="6" max="6" width="18.375" style="29" customWidth="1"/>
    <col min="7" max="7" width="47.125" style="27" customWidth="1"/>
    <col min="8" max="16384" width="8.875" style="27"/>
  </cols>
  <sheetData>
    <row r="1" spans="1:7" ht="19.5" x14ac:dyDescent="0.25">
      <c r="A1" s="298" t="s">
        <v>54</v>
      </c>
      <c r="B1" s="298"/>
      <c r="C1" s="298"/>
      <c r="D1" s="298"/>
      <c r="E1" s="298"/>
      <c r="F1" s="298"/>
      <c r="G1" s="298"/>
    </row>
    <row r="2" spans="1:7" ht="19.5" x14ac:dyDescent="0.25">
      <c r="A2" s="299" t="s">
        <v>55</v>
      </c>
      <c r="B2" s="299"/>
      <c r="C2" s="299"/>
      <c r="D2" s="299"/>
      <c r="E2" s="299"/>
      <c r="F2" s="299"/>
      <c r="G2" s="299"/>
    </row>
    <row r="3" spans="1:7" ht="20.25" thickBot="1" x14ac:dyDescent="0.3">
      <c r="A3" s="28" t="s">
        <v>72</v>
      </c>
      <c r="G3" s="30"/>
    </row>
    <row r="4" spans="1:7" ht="58.5" x14ac:dyDescent="0.25">
      <c r="A4" s="31" t="s">
        <v>398</v>
      </c>
      <c r="B4" s="32" t="s">
        <v>56</v>
      </c>
      <c r="C4" s="33" t="s">
        <v>57</v>
      </c>
      <c r="D4" s="32" t="s">
        <v>395</v>
      </c>
      <c r="E4" s="32" t="s">
        <v>396</v>
      </c>
      <c r="F4" s="32" t="s">
        <v>397</v>
      </c>
      <c r="G4" s="34" t="s">
        <v>58</v>
      </c>
    </row>
    <row r="5" spans="1:7" ht="19.5" x14ac:dyDescent="0.25">
      <c r="A5" s="35" t="s">
        <v>65</v>
      </c>
      <c r="B5" s="36"/>
      <c r="C5" s="36"/>
      <c r="D5" s="37"/>
      <c r="E5" s="37"/>
      <c r="F5" s="37"/>
      <c r="G5" s="306"/>
    </row>
    <row r="6" spans="1:7" ht="19.5" x14ac:dyDescent="0.25">
      <c r="A6" s="38" t="s">
        <v>66</v>
      </c>
      <c r="B6" s="39" t="s">
        <v>53</v>
      </c>
      <c r="C6" s="40" t="s">
        <v>59</v>
      </c>
      <c r="D6" s="41">
        <v>574</v>
      </c>
      <c r="E6" s="41">
        <v>574</v>
      </c>
      <c r="F6" s="41">
        <v>574</v>
      </c>
      <c r="G6" s="307"/>
    </row>
    <row r="7" spans="1:7" x14ac:dyDescent="0.25">
      <c r="A7" s="38"/>
      <c r="B7" s="39"/>
      <c r="C7" s="40"/>
      <c r="D7" s="41"/>
      <c r="E7" s="41"/>
      <c r="F7" s="41"/>
      <c r="G7" s="307"/>
    </row>
    <row r="8" spans="1:7" x14ac:dyDescent="0.25">
      <c r="A8" s="38"/>
      <c r="B8" s="39"/>
      <c r="C8" s="40"/>
      <c r="D8" s="41"/>
      <c r="E8" s="41"/>
      <c r="F8" s="41"/>
      <c r="G8" s="307"/>
    </row>
    <row r="9" spans="1:7" x14ac:dyDescent="0.25">
      <c r="A9" s="38"/>
      <c r="B9" s="39"/>
      <c r="C9" s="40"/>
      <c r="D9" s="41"/>
      <c r="E9" s="41"/>
      <c r="F9" s="41"/>
      <c r="G9" s="307"/>
    </row>
    <row r="10" spans="1:7" x14ac:dyDescent="0.25">
      <c r="A10" s="38"/>
      <c r="B10" s="39"/>
      <c r="C10" s="40"/>
      <c r="D10" s="41"/>
      <c r="E10" s="41"/>
      <c r="F10" s="41"/>
      <c r="G10" s="307"/>
    </row>
    <row r="11" spans="1:7" ht="19.5" x14ac:dyDescent="0.25">
      <c r="A11" s="35" t="s">
        <v>119</v>
      </c>
      <c r="B11" s="42"/>
      <c r="C11" s="42"/>
      <c r="D11" s="43"/>
      <c r="E11" s="44"/>
      <c r="F11" s="43"/>
      <c r="G11" s="307"/>
    </row>
    <row r="12" spans="1:7" ht="19.5" x14ac:dyDescent="0.25">
      <c r="A12" s="38" t="s">
        <v>67</v>
      </c>
      <c r="B12" s="39" t="s">
        <v>53</v>
      </c>
      <c r="C12" s="40" t="s">
        <v>59</v>
      </c>
      <c r="D12" s="41">
        <v>763</v>
      </c>
      <c r="E12" s="45" t="s">
        <v>60</v>
      </c>
      <c r="F12" s="41">
        <v>763</v>
      </c>
      <c r="G12" s="307"/>
    </row>
    <row r="13" spans="1:7" ht="19.5" x14ac:dyDescent="0.25">
      <c r="A13" s="38" t="s">
        <v>68</v>
      </c>
      <c r="B13" s="39" t="s">
        <v>53</v>
      </c>
      <c r="C13" s="40" t="s">
        <v>61</v>
      </c>
      <c r="D13" s="41">
        <v>93</v>
      </c>
      <c r="E13" s="45" t="s">
        <v>60</v>
      </c>
      <c r="F13" s="41">
        <v>93</v>
      </c>
      <c r="G13" s="307"/>
    </row>
    <row r="14" spans="1:7" x14ac:dyDescent="0.25">
      <c r="A14" s="38"/>
      <c r="B14" s="39"/>
      <c r="C14" s="40"/>
      <c r="D14" s="41"/>
      <c r="E14" s="45" t="s">
        <v>60</v>
      </c>
      <c r="F14" s="41"/>
      <c r="G14" s="307"/>
    </row>
    <row r="15" spans="1:7" s="49" customFormat="1" ht="19.5" x14ac:dyDescent="0.25">
      <c r="A15" s="46" t="s">
        <v>62</v>
      </c>
      <c r="B15" s="47"/>
      <c r="C15" s="47"/>
      <c r="D15" s="48">
        <f>SUM(D6:D14)</f>
        <v>1430</v>
      </c>
      <c r="E15" s="41">
        <f>SUM(E5:E14)</f>
        <v>574</v>
      </c>
      <c r="F15" s="48">
        <f>SUM(F5:F14)</f>
        <v>1430</v>
      </c>
      <c r="G15" s="308"/>
    </row>
    <row r="16" spans="1:7" ht="52.15" customHeight="1" thickBot="1" x14ac:dyDescent="0.3">
      <c r="A16" s="50" t="s">
        <v>63</v>
      </c>
      <c r="B16" s="301" t="s">
        <v>353</v>
      </c>
      <c r="C16" s="302"/>
      <c r="D16" s="303"/>
      <c r="E16" s="51"/>
      <c r="F16" s="304" t="s">
        <v>399</v>
      </c>
      <c r="G16" s="305"/>
    </row>
    <row r="17" spans="1:7" ht="34.9" customHeight="1" thickBot="1" x14ac:dyDescent="0.3"/>
    <row r="18" spans="1:7" ht="19.5" x14ac:dyDescent="0.25">
      <c r="A18" s="31" t="s">
        <v>400</v>
      </c>
      <c r="B18" s="300" t="s">
        <v>69</v>
      </c>
      <c r="C18" s="300"/>
      <c r="D18" s="52" t="s">
        <v>70</v>
      </c>
      <c r="E18" s="57" t="s">
        <v>73</v>
      </c>
      <c r="F18" s="309" t="s">
        <v>64</v>
      </c>
      <c r="G18" s="310"/>
    </row>
    <row r="19" spans="1:7" ht="19.5" x14ac:dyDescent="0.25">
      <c r="A19" s="38" t="s">
        <v>71</v>
      </c>
      <c r="B19" s="316"/>
      <c r="C19" s="316"/>
      <c r="D19" s="53">
        <v>1000</v>
      </c>
      <c r="E19" s="54" t="s">
        <v>74</v>
      </c>
      <c r="F19" s="311" t="s">
        <v>401</v>
      </c>
      <c r="G19" s="312"/>
    </row>
    <row r="20" spans="1:7" x14ac:dyDescent="0.25">
      <c r="A20" s="55"/>
      <c r="B20" s="316"/>
      <c r="C20" s="316"/>
      <c r="D20" s="53"/>
      <c r="E20" s="58"/>
      <c r="F20" s="317"/>
      <c r="G20" s="318"/>
    </row>
    <row r="21" spans="1:7" x14ac:dyDescent="0.25">
      <c r="A21" s="55"/>
      <c r="B21" s="316"/>
      <c r="C21" s="316"/>
      <c r="D21" s="53"/>
      <c r="E21" s="56"/>
      <c r="F21" s="317"/>
      <c r="G21" s="318"/>
    </row>
    <row r="22" spans="1:7" x14ac:dyDescent="0.25">
      <c r="A22" s="55"/>
      <c r="B22" s="316"/>
      <c r="C22" s="316"/>
      <c r="D22" s="53"/>
      <c r="E22" s="56"/>
      <c r="F22" s="317"/>
      <c r="G22" s="318"/>
    </row>
    <row r="23" spans="1:7" x14ac:dyDescent="0.25">
      <c r="A23" s="55"/>
      <c r="B23" s="316"/>
      <c r="C23" s="316"/>
      <c r="D23" s="53"/>
      <c r="E23" s="56"/>
      <c r="F23" s="317"/>
      <c r="G23" s="318"/>
    </row>
    <row r="24" spans="1:7" ht="66.75" customHeight="1" thickBot="1" x14ac:dyDescent="0.3">
      <c r="A24" s="313" t="s">
        <v>402</v>
      </c>
      <c r="B24" s="314"/>
      <c r="C24" s="314"/>
      <c r="D24" s="314"/>
      <c r="E24" s="314"/>
      <c r="F24" s="314"/>
      <c r="G24" s="315"/>
    </row>
  </sheetData>
  <mergeCells count="18">
    <mergeCell ref="F19:G19"/>
    <mergeCell ref="A24:G24"/>
    <mergeCell ref="B19:C19"/>
    <mergeCell ref="B20:C20"/>
    <mergeCell ref="B21:C21"/>
    <mergeCell ref="B22:C22"/>
    <mergeCell ref="B23:C23"/>
    <mergeCell ref="F20:G20"/>
    <mergeCell ref="F21:G21"/>
    <mergeCell ref="F22:G22"/>
    <mergeCell ref="F23:G23"/>
    <mergeCell ref="A1:G1"/>
    <mergeCell ref="A2:G2"/>
    <mergeCell ref="B18:C18"/>
    <mergeCell ref="B16:D16"/>
    <mergeCell ref="F16:G16"/>
    <mergeCell ref="G5:G15"/>
    <mergeCell ref="F18:G18"/>
  </mergeCells>
  <phoneticPr fontId="2" type="noConversion"/>
  <pageMargins left="0.70866141732283472" right="0.70866141732283472" top="0.74803149606299213" bottom="0.74803149606299213" header="0.31496062992125984" footer="0.31496062992125984"/>
  <pageSetup paperSize="9" scale="74"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33"/>
  <sheetViews>
    <sheetView tabSelected="1" zoomScale="86" zoomScaleNormal="86" workbookViewId="0">
      <pane xSplit="2" ySplit="6" topLeftCell="C7" activePane="bottomRight" state="frozen"/>
      <selection pane="topRight" activeCell="C1" sqref="C1"/>
      <selection pane="bottomLeft" activeCell="A7" sqref="A7"/>
      <selection pane="bottomRight" activeCell="E140" sqref="E140"/>
    </sheetView>
  </sheetViews>
  <sheetFormatPr defaultRowHeight="16.5" x14ac:dyDescent="0.25"/>
  <cols>
    <col min="1" max="1" width="10.375" style="4" customWidth="1"/>
    <col min="2" max="2" width="45.125" style="3" customWidth="1"/>
    <col min="3" max="3" width="17.5" style="3" customWidth="1"/>
    <col min="4" max="5" width="15.125" style="2" customWidth="1"/>
    <col min="6" max="6" width="15.5" style="2" customWidth="1"/>
    <col min="7" max="12" width="15.125" style="2" customWidth="1"/>
    <col min="13" max="13" width="59.625" style="2" customWidth="1"/>
    <col min="14" max="15" width="15.125" style="2" hidden="1" customWidth="1"/>
    <col min="16" max="16" width="15.5" style="2" hidden="1" customWidth="1"/>
    <col min="17" max="23" width="15.125" style="2" hidden="1" customWidth="1"/>
    <col min="24" max="27" width="17.625" style="2" hidden="1" customWidth="1"/>
    <col min="28" max="28" width="49.125" style="2" hidden="1" customWidth="1"/>
    <col min="29" max="30" width="15.125" style="2" hidden="1" customWidth="1"/>
    <col min="31" max="32" width="15.5" style="2" hidden="1" customWidth="1"/>
    <col min="33" max="35" width="15.125" style="2" hidden="1" customWidth="1"/>
    <col min="36" max="38" width="19.125" style="2" hidden="1" customWidth="1"/>
    <col min="39" max="39" width="15.125" style="2" hidden="1" customWidth="1"/>
    <col min="40" max="40" width="49.125" style="2" hidden="1" customWidth="1"/>
    <col min="41" max="49" width="15.125" style="2" hidden="1" customWidth="1"/>
    <col min="50" max="50" width="13.625" style="2" hidden="1" customWidth="1"/>
    <col min="51" max="51" width="34.625" style="143" hidden="1" customWidth="1"/>
    <col min="52" max="52" width="17.875" style="2" hidden="1" customWidth="1"/>
    <col min="53" max="60" width="15.125" style="2" hidden="1" customWidth="1"/>
    <col min="61" max="61" width="37.125" style="143" hidden="1" customWidth="1"/>
    <col min="62" max="64" width="13.625" style="2" hidden="1" customWidth="1"/>
    <col min="65" max="67" width="12.625" style="2" hidden="1" customWidth="1"/>
    <col min="68" max="70" width="15.5" style="2" hidden="1" customWidth="1"/>
    <col min="71" max="71" width="28.125" style="143" hidden="1" customWidth="1"/>
    <col min="72" max="16384" width="9" style="1"/>
  </cols>
  <sheetData>
    <row r="1" spans="1:73" ht="19.5" x14ac:dyDescent="0.25">
      <c r="A1" s="348"/>
      <c r="B1" s="348"/>
    </row>
    <row r="2" spans="1:73" ht="25.5" x14ac:dyDescent="0.25">
      <c r="A2" s="357" t="s">
        <v>75</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row>
    <row r="3" spans="1:73" ht="25.5" x14ac:dyDescent="0.25">
      <c r="A3" s="357" t="s">
        <v>354</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row>
    <row r="4" spans="1:73" ht="24.75" customHeight="1" thickBot="1" x14ac:dyDescent="0.3">
      <c r="M4" s="145" t="s">
        <v>229</v>
      </c>
      <c r="AA4" s="144"/>
      <c r="AB4" s="1"/>
      <c r="AN4" s="146" t="s">
        <v>229</v>
      </c>
      <c r="AY4" s="147"/>
      <c r="BI4" s="148" t="s">
        <v>229</v>
      </c>
    </row>
    <row r="5" spans="1:73" ht="46.5" customHeight="1" x14ac:dyDescent="0.25">
      <c r="A5" s="349" t="s">
        <v>120</v>
      </c>
      <c r="B5" s="351" t="s">
        <v>76</v>
      </c>
      <c r="C5" s="353" t="s">
        <v>121</v>
      </c>
      <c r="D5" s="355" t="s">
        <v>355</v>
      </c>
      <c r="E5" s="337"/>
      <c r="F5" s="356"/>
      <c r="G5" s="343" t="s">
        <v>356</v>
      </c>
      <c r="H5" s="344"/>
      <c r="I5" s="338"/>
      <c r="J5" s="343" t="s">
        <v>357</v>
      </c>
      <c r="K5" s="344"/>
      <c r="L5" s="344"/>
      <c r="M5" s="341" t="s">
        <v>358</v>
      </c>
      <c r="N5" s="355" t="s">
        <v>230</v>
      </c>
      <c r="O5" s="337"/>
      <c r="P5" s="356"/>
      <c r="Q5" s="343" t="s">
        <v>231</v>
      </c>
      <c r="R5" s="344"/>
      <c r="S5" s="338"/>
      <c r="T5" s="343" t="s">
        <v>232</v>
      </c>
      <c r="U5" s="344"/>
      <c r="V5" s="344"/>
      <c r="W5" s="358" t="s">
        <v>233</v>
      </c>
      <c r="X5" s="336" t="s">
        <v>234</v>
      </c>
      <c r="Y5" s="337"/>
      <c r="Z5" s="337"/>
      <c r="AA5" s="346" t="s">
        <v>235</v>
      </c>
      <c r="AB5" s="341" t="s">
        <v>236</v>
      </c>
      <c r="AC5" s="338" t="s">
        <v>237</v>
      </c>
      <c r="AD5" s="337"/>
      <c r="AE5" s="356"/>
      <c r="AF5" s="149" t="s">
        <v>238</v>
      </c>
      <c r="AG5" s="360" t="s">
        <v>239</v>
      </c>
      <c r="AH5" s="344"/>
      <c r="AI5" s="338"/>
      <c r="AJ5" s="343" t="s">
        <v>240</v>
      </c>
      <c r="AK5" s="344"/>
      <c r="AL5" s="338"/>
      <c r="AM5" s="346" t="s">
        <v>241</v>
      </c>
      <c r="AN5" s="341" t="s">
        <v>242</v>
      </c>
      <c r="AO5" s="338" t="s">
        <v>243</v>
      </c>
      <c r="AP5" s="337"/>
      <c r="AQ5" s="337"/>
      <c r="AR5" s="343" t="s">
        <v>244</v>
      </c>
      <c r="AS5" s="344"/>
      <c r="AT5" s="344"/>
      <c r="AU5" s="345" t="s">
        <v>245</v>
      </c>
      <c r="AV5" s="344"/>
      <c r="AW5" s="338"/>
      <c r="AX5" s="346" t="s">
        <v>246</v>
      </c>
      <c r="AY5" s="339" t="s">
        <v>247</v>
      </c>
      <c r="AZ5" s="338" t="s">
        <v>248</v>
      </c>
      <c r="BA5" s="337"/>
      <c r="BB5" s="337"/>
      <c r="BC5" s="331" t="s">
        <v>249</v>
      </c>
      <c r="BD5" s="332"/>
      <c r="BE5" s="333"/>
      <c r="BF5" s="331" t="s">
        <v>250</v>
      </c>
      <c r="BG5" s="332"/>
      <c r="BH5" s="333"/>
      <c r="BI5" s="334" t="s">
        <v>251</v>
      </c>
      <c r="BJ5" s="336" t="s">
        <v>252</v>
      </c>
      <c r="BK5" s="337"/>
      <c r="BL5" s="337"/>
      <c r="BM5" s="331" t="s">
        <v>253</v>
      </c>
      <c r="BN5" s="332"/>
      <c r="BO5" s="333"/>
      <c r="BP5" s="331" t="s">
        <v>254</v>
      </c>
      <c r="BQ5" s="332"/>
      <c r="BR5" s="333"/>
      <c r="BS5" s="334" t="s">
        <v>255</v>
      </c>
    </row>
    <row r="6" spans="1:73" s="25" customFormat="1" ht="21" x14ac:dyDescent="0.25">
      <c r="A6" s="350"/>
      <c r="B6" s="352"/>
      <c r="C6" s="354"/>
      <c r="D6" s="59" t="s">
        <v>77</v>
      </c>
      <c r="E6" s="60" t="s">
        <v>78</v>
      </c>
      <c r="F6" s="61" t="s">
        <v>79</v>
      </c>
      <c r="G6" s="60" t="s">
        <v>77</v>
      </c>
      <c r="H6" s="60" t="s">
        <v>78</v>
      </c>
      <c r="I6" s="60" t="s">
        <v>79</v>
      </c>
      <c r="J6" s="62" t="s">
        <v>77</v>
      </c>
      <c r="K6" s="60" t="s">
        <v>78</v>
      </c>
      <c r="L6" s="61" t="s">
        <v>79</v>
      </c>
      <c r="M6" s="342"/>
      <c r="N6" s="59" t="s">
        <v>77</v>
      </c>
      <c r="O6" s="60" t="s">
        <v>78</v>
      </c>
      <c r="P6" s="61" t="s">
        <v>79</v>
      </c>
      <c r="Q6" s="60" t="s">
        <v>77</v>
      </c>
      <c r="R6" s="60" t="s">
        <v>78</v>
      </c>
      <c r="S6" s="60" t="s">
        <v>79</v>
      </c>
      <c r="T6" s="62" t="s">
        <v>77</v>
      </c>
      <c r="U6" s="60" t="s">
        <v>78</v>
      </c>
      <c r="V6" s="61" t="s">
        <v>79</v>
      </c>
      <c r="W6" s="359"/>
      <c r="X6" s="62" t="s">
        <v>77</v>
      </c>
      <c r="Y6" s="60" t="s">
        <v>78</v>
      </c>
      <c r="Z6" s="60" t="s">
        <v>79</v>
      </c>
      <c r="AA6" s="347"/>
      <c r="AB6" s="342"/>
      <c r="AC6" s="62" t="s">
        <v>77</v>
      </c>
      <c r="AD6" s="60" t="s">
        <v>78</v>
      </c>
      <c r="AE6" s="61" t="s">
        <v>79</v>
      </c>
      <c r="AF6" s="150" t="s">
        <v>256</v>
      </c>
      <c r="AG6" s="62" t="s">
        <v>77</v>
      </c>
      <c r="AH6" s="60" t="s">
        <v>78</v>
      </c>
      <c r="AI6" s="60" t="s">
        <v>79</v>
      </c>
      <c r="AJ6" s="60" t="s">
        <v>77</v>
      </c>
      <c r="AK6" s="60" t="s">
        <v>78</v>
      </c>
      <c r="AL6" s="60" t="s">
        <v>79</v>
      </c>
      <c r="AM6" s="347"/>
      <c r="AN6" s="342"/>
      <c r="AO6" s="62" t="s">
        <v>77</v>
      </c>
      <c r="AP6" s="60" t="s">
        <v>78</v>
      </c>
      <c r="AQ6" s="60" t="s">
        <v>79</v>
      </c>
      <c r="AR6" s="62" t="s">
        <v>77</v>
      </c>
      <c r="AS6" s="60" t="s">
        <v>78</v>
      </c>
      <c r="AT6" s="61" t="s">
        <v>79</v>
      </c>
      <c r="AU6" s="59" t="s">
        <v>77</v>
      </c>
      <c r="AV6" s="60" t="s">
        <v>78</v>
      </c>
      <c r="AW6" s="60" t="s">
        <v>79</v>
      </c>
      <c r="AX6" s="347"/>
      <c r="AY6" s="340"/>
      <c r="AZ6" s="151" t="s">
        <v>257</v>
      </c>
      <c r="BA6" s="152" t="s">
        <v>256</v>
      </c>
      <c r="BB6" s="152" t="s">
        <v>258</v>
      </c>
      <c r="BC6" s="151" t="s">
        <v>257</v>
      </c>
      <c r="BD6" s="152" t="s">
        <v>256</v>
      </c>
      <c r="BE6" s="152" t="s">
        <v>258</v>
      </c>
      <c r="BF6" s="151" t="s">
        <v>257</v>
      </c>
      <c r="BG6" s="152" t="s">
        <v>256</v>
      </c>
      <c r="BH6" s="152" t="s">
        <v>258</v>
      </c>
      <c r="BI6" s="335"/>
      <c r="BJ6" s="151" t="s">
        <v>257</v>
      </c>
      <c r="BK6" s="152" t="s">
        <v>256</v>
      </c>
      <c r="BL6" s="152" t="s">
        <v>258</v>
      </c>
      <c r="BM6" s="151" t="s">
        <v>257</v>
      </c>
      <c r="BN6" s="152" t="s">
        <v>256</v>
      </c>
      <c r="BO6" s="152" t="s">
        <v>258</v>
      </c>
      <c r="BP6" s="151" t="s">
        <v>257</v>
      </c>
      <c r="BQ6" s="152" t="s">
        <v>256</v>
      </c>
      <c r="BR6" s="152" t="s">
        <v>258</v>
      </c>
      <c r="BS6" s="335"/>
    </row>
    <row r="7" spans="1:73" s="5" customFormat="1" ht="40.5" customHeight="1" x14ac:dyDescent="0.25">
      <c r="A7" s="63"/>
      <c r="B7" s="64" t="s">
        <v>122</v>
      </c>
      <c r="C7" s="65"/>
      <c r="D7" s="66">
        <f t="shared" ref="D7:L7" si="0">D132</f>
        <v>631140</v>
      </c>
      <c r="E7" s="100">
        <f t="shared" si="0"/>
        <v>152828</v>
      </c>
      <c r="F7" s="100">
        <f t="shared" si="0"/>
        <v>783968</v>
      </c>
      <c r="G7" s="100">
        <f t="shared" si="0"/>
        <v>9755</v>
      </c>
      <c r="H7" s="100">
        <f t="shared" si="0"/>
        <v>947.85</v>
      </c>
      <c r="I7" s="100">
        <f t="shared" si="0"/>
        <v>10702.849999999999</v>
      </c>
      <c r="J7" s="100">
        <f t="shared" si="0"/>
        <v>621385</v>
      </c>
      <c r="K7" s="100">
        <f t="shared" si="0"/>
        <v>151880.15</v>
      </c>
      <c r="L7" s="100">
        <f t="shared" si="0"/>
        <v>773265.14999999991</v>
      </c>
      <c r="M7" s="68"/>
      <c r="N7" s="66" t="e">
        <f>#REF!</f>
        <v>#REF!</v>
      </c>
      <c r="O7" s="24" t="e">
        <f>#REF!</f>
        <v>#REF!</v>
      </c>
      <c r="P7" s="100" t="e">
        <f>#REF!</f>
        <v>#REF!</v>
      </c>
      <c r="Q7" s="24" t="e">
        <f>#REF!</f>
        <v>#REF!</v>
      </c>
      <c r="R7" s="24" t="e">
        <f>#REF!</f>
        <v>#REF!</v>
      </c>
      <c r="S7" s="24" t="e">
        <f>#REF!</f>
        <v>#REF!</v>
      </c>
      <c r="T7" s="24" t="e">
        <f>#REF!</f>
        <v>#REF!</v>
      </c>
      <c r="U7" s="24" t="e">
        <f>#REF!</f>
        <v>#REF!</v>
      </c>
      <c r="V7" s="153" t="e">
        <f>#REF!</f>
        <v>#REF!</v>
      </c>
      <c r="W7" s="154" t="e">
        <f>#REF!</f>
        <v>#REF!</v>
      </c>
      <c r="X7" s="155" t="e">
        <f>#REF!</f>
        <v>#REF!</v>
      </c>
      <c r="Y7" s="100" t="e">
        <f>#REF!</f>
        <v>#REF!</v>
      </c>
      <c r="Z7" s="155" t="e">
        <f>#REF!</f>
        <v>#REF!</v>
      </c>
      <c r="AA7" s="100" t="e">
        <f>#REF!</f>
        <v>#REF!</v>
      </c>
      <c r="AB7" s="68"/>
      <c r="AC7" s="24" t="e">
        <f>#REF!</f>
        <v>#REF!</v>
      </c>
      <c r="AD7" s="24" t="e">
        <f>#REF!</f>
        <v>#REF!</v>
      </c>
      <c r="AE7" s="67" t="e">
        <f>#REF!</f>
        <v>#REF!</v>
      </c>
      <c r="AF7" s="156" t="e">
        <f>#REF!</f>
        <v>#REF!</v>
      </c>
      <c r="AG7" s="24" t="e">
        <f>#REF!</f>
        <v>#REF!</v>
      </c>
      <c r="AH7" s="24" t="e">
        <f>#REF!</f>
        <v>#REF!</v>
      </c>
      <c r="AI7" s="24" t="e">
        <f>#REF!</f>
        <v>#REF!</v>
      </c>
      <c r="AJ7" s="24" t="e">
        <f>#REF!</f>
        <v>#REF!</v>
      </c>
      <c r="AK7" s="24" t="e">
        <f>#REF!</f>
        <v>#REF!</v>
      </c>
      <c r="AL7" s="24" t="e">
        <f>#REF!</f>
        <v>#REF!</v>
      </c>
      <c r="AM7" s="155" t="e">
        <f>V7-AL7</f>
        <v>#REF!</v>
      </c>
      <c r="AN7" s="68"/>
      <c r="AO7" s="24" t="e">
        <f>#REF!</f>
        <v>#REF!</v>
      </c>
      <c r="AP7" s="24" t="e">
        <f>#REF!</f>
        <v>#REF!</v>
      </c>
      <c r="AQ7" s="24" t="e">
        <f>#REF!</f>
        <v>#REF!</v>
      </c>
      <c r="AR7" s="24" t="e">
        <f>#REF!</f>
        <v>#REF!</v>
      </c>
      <c r="AS7" s="24" t="e">
        <f>#REF!</f>
        <v>#REF!</v>
      </c>
      <c r="AT7" s="155" t="e">
        <f>#REF!</f>
        <v>#REF!</v>
      </c>
      <c r="AU7" s="66" t="e">
        <f>#REF!</f>
        <v>#REF!</v>
      </c>
      <c r="AV7" s="24" t="e">
        <f>#REF!</f>
        <v>#REF!</v>
      </c>
      <c r="AW7" s="24" t="e">
        <f>#REF!</f>
        <v>#REF!</v>
      </c>
      <c r="AX7" s="24" t="e">
        <f>#REF!</f>
        <v>#REF!</v>
      </c>
      <c r="AY7" s="69"/>
      <c r="AZ7" s="24" t="e">
        <f>AZ16+AZ25+AZ34+AZ51+AZ57+AZ59+AZ64+AZ77+AZ83+AZ90+AZ97+AZ100+AZ105+AZ112+AZ117+AZ120+#REF!+AZ122+AZ127+#REF!+AZ129+#REF!+#REF!+#REF!</f>
        <v>#REF!</v>
      </c>
      <c r="BA7" s="24" t="e">
        <f>BA16+BA25+BA34+BA51+BA57+BA59+BA64+BA77+BA83+BA90+BA97+BA100+BA105+BA112+BA117+BA120+#REF!+BA122+BA127+#REF!+BA129+#REF!+#REF!+#REF!</f>
        <v>#REF!</v>
      </c>
      <c r="BB7" s="24" t="e">
        <f>BB16+BB25+BB34+BB51+BB57+BB59+BB64+BB77+BB83+BB90+BB97+BB100+BB105+BB112+BB117+BB120+#REF!+BB122+BB127+#REF!+BB129+#REF!+#REF!+#REF!</f>
        <v>#REF!</v>
      </c>
      <c r="BC7" s="24" t="e">
        <f>BC16+BC25+BC34+BC51+BC57+BC59+BC64+BC77+BC83+BC90+BC97+BC100+BC105+BC112+BC117+BC120+#REF!+BC122+BC127+#REF!+BC129+#REF!+#REF!+#REF!</f>
        <v>#REF!</v>
      </c>
      <c r="BD7" s="24" t="e">
        <f>BD16+BD25+BD34+BD51+BD57+BD59+BD64+BD77+BD83+BD90+BD97+BD100+BD105+BD112+BD117+BD120+#REF!+BD122+BD127+#REF!+BD129+#REF!+#REF!+#REF!</f>
        <v>#REF!</v>
      </c>
      <c r="BE7" s="24" t="e">
        <f>BE16+BE25+BE34+BE51+BE57+BE59+BE64+BE77+BE83+BE90+BE97+BE100+BE105+BE112+BE117+BE120+#REF!+BE122+BE127+#REF!+BE129+#REF!+#REF!+#REF!</f>
        <v>#REF!</v>
      </c>
      <c r="BF7" s="24" t="e">
        <f>BF16+BF25+BF34+BF51+BF57+BF59+BF64+BF77+BF83+BF90+BF97+BF100+BF105+BF112+BF117+BF120+#REF!+BF122+BF127+#REF!+BF129+#REF!+#REF!+#REF!</f>
        <v>#REF!</v>
      </c>
      <c r="BG7" s="24" t="e">
        <f>BG16+BG25+BG34+BG51+BG57+BG59+BG64+BG77+BG83+BG90+BG97+BG100+BG105+BG112+BG117+BG120+#REF!+BG122+BG127+#REF!+BG129+#REF!+#REF!+#REF!</f>
        <v>#REF!</v>
      </c>
      <c r="BH7" s="24" t="e">
        <f>BH16+BH25+BH34+BH51+BH57+BH59+BH64+BH77+BH83+BH90+BH97+BH100+BH105+BH112+BH117+BH120+#REF!+BH122+BH127+#REF!+BH129+#REF!+#REF!+#REF!</f>
        <v>#REF!</v>
      </c>
      <c r="BI7" s="157"/>
      <c r="BJ7" s="158" t="e">
        <f>BJ16+BJ25+BJ34+BJ51+BJ57+BJ59+BJ64+BJ77+BJ83+BJ90+BJ97+BJ100+BJ105+BJ112+BJ117+BJ120+#REF!+BJ122+BJ127+#REF!+BJ129+#REF!+#REF!</f>
        <v>#REF!</v>
      </c>
      <c r="BK7" s="158" t="e">
        <f>BK16+BK25+BK34+BK51+BK57+BK59+BK64+BK77+BK83+BK90+BK97+BK100+BK105+BK112+BK117+BK120+#REF!+BK122+BK127+#REF!+BK129+#REF!+#REF!</f>
        <v>#REF!</v>
      </c>
      <c r="BL7" s="158" t="e">
        <f>BL16+BL25+BL34+BL51+BL57+BL59+BL64+BL77+BL83+BL90+BL97+BL100+BL105+BL112+BL117+BL120+#REF!+BL122+BL127+#REF!+BL129+#REF!+#REF!</f>
        <v>#REF!</v>
      </c>
      <c r="BM7" s="158" t="e">
        <f>BM16+BM25+BM34+BM51+BM57+BM59+BM64+BM77+BM83+BM90+BM97+BM100+BM105+BM112+BM117+BM120+#REF!+BM122+BM127+#REF!+BM129+#REF!+#REF!</f>
        <v>#REF!</v>
      </c>
      <c r="BN7" s="158" t="e">
        <f>BN16+BN25+BN34+BN51+BN57+BN59+BN64+BN77+BN83+BN90+BN97+BN100+BN105+BN112+BN117+BN120+#REF!+BN122+BN127+#REF!+BN129+#REF!+#REF!</f>
        <v>#REF!</v>
      </c>
      <c r="BO7" s="158" t="e">
        <f>BO16+BO25+BO34+BO51+BO57+BO59+BO64+BO77+BO83+BO90+BO97+BO100+BO105+BO112+BO117+BO120+#REF!+BO122+BO127+#REF!+BO129+#REF!+#REF!</f>
        <v>#REF!</v>
      </c>
      <c r="BP7" s="24" t="e">
        <f>BP16+BP25+BP34+BP51+BP57+BP59+BP64+BP77+BP83+BP90+BP97+BP100+BP105+BP112+BP117+BP120+#REF!+BP122+BP127+#REF!+BP129+#REF!+#REF!</f>
        <v>#REF!</v>
      </c>
      <c r="BQ7" s="24" t="e">
        <f>BQ16+BQ25+BQ34+BQ51+BQ57+BQ59+BQ64+BQ77+BQ83+BQ90+BQ97+BQ100+BQ105+BQ112+BQ117+BQ120+#REF!+BQ122+BQ127+#REF!+BQ129+#REF!+#REF!</f>
        <v>#REF!</v>
      </c>
      <c r="BR7" s="24" t="e">
        <f>BR16+BR25+BR34+BR51+BR57+BR59+BR64+BR77+BR83+BR90+BR97+BR100+BR105+BR112+BR117+BR120+#REF!+BR122+BR127+#REF!+BR129+#REF!+#REF!</f>
        <v>#REF!</v>
      </c>
      <c r="BS7" s="159" t="s">
        <v>259</v>
      </c>
    </row>
    <row r="8" spans="1:73" ht="35.1" customHeight="1" x14ac:dyDescent="0.25">
      <c r="A8" s="11" t="s">
        <v>123</v>
      </c>
      <c r="B8" s="12" t="s">
        <v>13</v>
      </c>
      <c r="C8" s="70" t="s">
        <v>124</v>
      </c>
      <c r="D8" s="71">
        <v>1692</v>
      </c>
      <c r="E8" s="7">
        <v>203</v>
      </c>
      <c r="F8" s="7">
        <f>SUM(D8:E8)</f>
        <v>1895</v>
      </c>
      <c r="G8" s="6"/>
      <c r="H8" s="6"/>
      <c r="I8" s="6"/>
      <c r="J8" s="7">
        <f>D8-G8</f>
        <v>1692</v>
      </c>
      <c r="K8" s="6">
        <f>E8-H8</f>
        <v>203</v>
      </c>
      <c r="L8" s="6">
        <f>F8-I8</f>
        <v>1895</v>
      </c>
      <c r="M8" s="72"/>
      <c r="N8" s="71">
        <v>1692</v>
      </c>
      <c r="O8" s="7">
        <v>212</v>
      </c>
      <c r="P8" s="7">
        <f>SUM(N8:O8)</f>
        <v>1904</v>
      </c>
      <c r="Q8" s="6"/>
      <c r="R8" s="6"/>
      <c r="S8" s="6"/>
      <c r="T8" s="7">
        <f>N8-Q8</f>
        <v>1692</v>
      </c>
      <c r="U8" s="6">
        <f>O8-R8</f>
        <v>212</v>
      </c>
      <c r="V8" s="6">
        <f>P8-S8</f>
        <v>1904</v>
      </c>
      <c r="W8" s="160">
        <v>9</v>
      </c>
      <c r="X8" s="8">
        <f>T8</f>
        <v>1692</v>
      </c>
      <c r="Y8" s="7">
        <f>U8-W8</f>
        <v>203</v>
      </c>
      <c r="Z8" s="7">
        <f>X8+Y8</f>
        <v>1895</v>
      </c>
      <c r="AA8" s="7">
        <f>L8-Z8</f>
        <v>0</v>
      </c>
      <c r="AB8" s="96"/>
      <c r="AC8" s="8">
        <v>1692</v>
      </c>
      <c r="AD8" s="7">
        <v>212</v>
      </c>
      <c r="AE8" s="6">
        <f>SUM(AC8:AD8)</f>
        <v>1904</v>
      </c>
      <c r="AF8" s="161">
        <v>17</v>
      </c>
      <c r="AG8" s="22"/>
      <c r="AH8" s="6"/>
      <c r="AI8" s="6"/>
      <c r="AJ8" s="7">
        <f>AC8-AG8</f>
        <v>1692</v>
      </c>
      <c r="AK8" s="6">
        <f>AD8-AF8-AH8</f>
        <v>195</v>
      </c>
      <c r="AL8" s="6">
        <f>AE8-AI8-AF8</f>
        <v>1887</v>
      </c>
      <c r="AM8" s="6">
        <f>V8-AL8</f>
        <v>17</v>
      </c>
      <c r="AN8" s="72"/>
      <c r="AO8" s="8">
        <v>1692</v>
      </c>
      <c r="AP8" s="7">
        <v>212</v>
      </c>
      <c r="AQ8" s="7">
        <f>SUM(AO8:AP8)</f>
        <v>1904</v>
      </c>
      <c r="AR8" s="6"/>
      <c r="AS8" s="6"/>
      <c r="AT8" s="6"/>
      <c r="AU8" s="71">
        <f>AO8-AR8</f>
        <v>1692</v>
      </c>
      <c r="AV8" s="6">
        <f>AP8-AS8</f>
        <v>212</v>
      </c>
      <c r="AW8" s="6">
        <f>AQ8-AT8</f>
        <v>1904</v>
      </c>
      <c r="AX8" s="6">
        <f t="shared" ref="AX8:AX15" si="1">AL8-AW8</f>
        <v>-17</v>
      </c>
      <c r="AY8" s="73"/>
      <c r="AZ8" s="8">
        <v>1692</v>
      </c>
      <c r="BA8" s="7">
        <v>212</v>
      </c>
      <c r="BB8" s="7">
        <f t="shared" ref="BB8:BB13" si="2">SUM(AZ8:BA8)</f>
        <v>1904</v>
      </c>
      <c r="BC8" s="6"/>
      <c r="BD8" s="6"/>
      <c r="BE8" s="6"/>
      <c r="BF8" s="7">
        <f>AZ8-BC8</f>
        <v>1692</v>
      </c>
      <c r="BG8" s="6">
        <f>BA8-BD8</f>
        <v>212</v>
      </c>
      <c r="BH8" s="6">
        <f>BB8-BE8</f>
        <v>1904</v>
      </c>
      <c r="BI8" s="162"/>
      <c r="BJ8" s="163">
        <v>1692</v>
      </c>
      <c r="BK8" s="164">
        <v>212</v>
      </c>
      <c r="BL8" s="164">
        <f t="shared" ref="BL8:BL13" si="3">SUM(BJ8:BK8)</f>
        <v>1904</v>
      </c>
      <c r="BM8" s="165"/>
      <c r="BN8" s="165"/>
      <c r="BO8" s="165"/>
      <c r="BP8" s="6">
        <f t="shared" ref="BP8:BR80" si="4">BJ8+BM8</f>
        <v>1692</v>
      </c>
      <c r="BQ8" s="6">
        <f t="shared" si="4"/>
        <v>212</v>
      </c>
      <c r="BR8" s="6">
        <f t="shared" si="4"/>
        <v>1904</v>
      </c>
      <c r="BS8" s="166"/>
      <c r="BT8" s="2"/>
      <c r="BU8" s="2"/>
    </row>
    <row r="9" spans="1:73" ht="35.1" customHeight="1" x14ac:dyDescent="0.25">
      <c r="A9" s="11" t="s">
        <v>125</v>
      </c>
      <c r="B9" s="12" t="s">
        <v>126</v>
      </c>
      <c r="C9" s="70" t="s">
        <v>124</v>
      </c>
      <c r="D9" s="71">
        <v>2119</v>
      </c>
      <c r="E9" s="7">
        <v>2257</v>
      </c>
      <c r="F9" s="7">
        <f t="shared" ref="F9:F14" si="5">SUM(D9:E9)</f>
        <v>4376</v>
      </c>
      <c r="G9" s="6"/>
      <c r="H9" s="6"/>
      <c r="I9" s="6"/>
      <c r="J9" s="7">
        <f t="shared" ref="J9:L15" si="6">D9-G9</f>
        <v>2119</v>
      </c>
      <c r="K9" s="6">
        <f t="shared" si="6"/>
        <v>2257</v>
      </c>
      <c r="L9" s="6">
        <f t="shared" si="6"/>
        <v>4376</v>
      </c>
      <c r="M9" s="72"/>
      <c r="N9" s="71">
        <v>2119</v>
      </c>
      <c r="O9" s="7">
        <v>2352</v>
      </c>
      <c r="P9" s="7">
        <f t="shared" ref="P9:P15" si="7">SUM(N9:O9)</f>
        <v>4471</v>
      </c>
      <c r="Q9" s="6"/>
      <c r="R9" s="6"/>
      <c r="S9" s="6"/>
      <c r="T9" s="7">
        <f t="shared" ref="T9:V15" si="8">N9-Q9</f>
        <v>2119</v>
      </c>
      <c r="U9" s="6">
        <f t="shared" si="8"/>
        <v>2352</v>
      </c>
      <c r="V9" s="6">
        <f t="shared" si="8"/>
        <v>4471</v>
      </c>
      <c r="W9" s="160">
        <v>95</v>
      </c>
      <c r="X9" s="8">
        <f t="shared" ref="X9:X15" si="9">T9</f>
        <v>2119</v>
      </c>
      <c r="Y9" s="7">
        <f t="shared" ref="Y9:Y15" si="10">U9-W9</f>
        <v>2257</v>
      </c>
      <c r="Z9" s="7">
        <f t="shared" ref="Z9:Z15" si="11">X9+Y9</f>
        <v>4376</v>
      </c>
      <c r="AA9" s="22">
        <f t="shared" ref="AA9:AA15" si="12">L9-Z9</f>
        <v>0</v>
      </c>
      <c r="AB9" s="72"/>
      <c r="AC9" s="8">
        <v>2119</v>
      </c>
      <c r="AD9" s="7">
        <v>2352</v>
      </c>
      <c r="AE9" s="6">
        <f t="shared" ref="AE9:AE15" si="13">SUM(AC9:AD9)</f>
        <v>4471</v>
      </c>
      <c r="AF9" s="161">
        <v>183</v>
      </c>
      <c r="AG9" s="22"/>
      <c r="AH9" s="6"/>
      <c r="AI9" s="6"/>
      <c r="AJ9" s="7">
        <f t="shared" ref="AJ9:AL15" si="14">AC9-AG9</f>
        <v>2119</v>
      </c>
      <c r="AK9" s="6">
        <f>AD9-AF9-AH9</f>
        <v>2169</v>
      </c>
      <c r="AL9" s="6">
        <f>AE9-AI9-AF9</f>
        <v>4288</v>
      </c>
      <c r="AM9" s="6">
        <f t="shared" ref="AM9:AM15" si="15">V9-AL9</f>
        <v>183</v>
      </c>
      <c r="AN9" s="72"/>
      <c r="AO9" s="8">
        <v>2119</v>
      </c>
      <c r="AP9" s="7">
        <v>2352</v>
      </c>
      <c r="AQ9" s="7">
        <f t="shared" ref="AQ9:AQ15" si="16">SUM(AO9:AP9)</f>
        <v>4471</v>
      </c>
      <c r="AR9" s="6"/>
      <c r="AS9" s="6"/>
      <c r="AT9" s="6"/>
      <c r="AU9" s="71">
        <f t="shared" ref="AU9:AW15" si="17">AO9-AR9</f>
        <v>2119</v>
      </c>
      <c r="AV9" s="6">
        <f t="shared" si="17"/>
        <v>2352</v>
      </c>
      <c r="AW9" s="6">
        <f t="shared" si="17"/>
        <v>4471</v>
      </c>
      <c r="AX9" s="6">
        <f t="shared" si="1"/>
        <v>-183</v>
      </c>
      <c r="AY9" s="73"/>
      <c r="AZ9" s="8">
        <v>2119</v>
      </c>
      <c r="BA9" s="7">
        <v>2352</v>
      </c>
      <c r="BB9" s="7">
        <f t="shared" si="2"/>
        <v>4471</v>
      </c>
      <c r="BC9" s="6"/>
      <c r="BD9" s="6"/>
      <c r="BE9" s="6"/>
      <c r="BF9" s="7">
        <f t="shared" ref="BF9:BH101" si="18">AZ9-BC9</f>
        <v>2119</v>
      </c>
      <c r="BG9" s="6">
        <f t="shared" si="18"/>
        <v>2352</v>
      </c>
      <c r="BH9" s="6">
        <f t="shared" si="18"/>
        <v>4471</v>
      </c>
      <c r="BI9" s="162"/>
      <c r="BJ9" s="163">
        <v>2119</v>
      </c>
      <c r="BK9" s="164">
        <v>2352</v>
      </c>
      <c r="BL9" s="164">
        <f t="shared" si="3"/>
        <v>4471</v>
      </c>
      <c r="BM9" s="165"/>
      <c r="BN9" s="165"/>
      <c r="BO9" s="165"/>
      <c r="BP9" s="6">
        <f t="shared" si="4"/>
        <v>2119</v>
      </c>
      <c r="BQ9" s="6">
        <f t="shared" si="4"/>
        <v>2352</v>
      </c>
      <c r="BR9" s="6">
        <f t="shared" si="4"/>
        <v>4471</v>
      </c>
      <c r="BS9" s="166"/>
      <c r="BT9" s="2"/>
      <c r="BU9" s="2"/>
    </row>
    <row r="10" spans="1:73" ht="35.1" customHeight="1" x14ac:dyDescent="0.25">
      <c r="A10" s="10" t="s">
        <v>127</v>
      </c>
      <c r="B10" s="9" t="s">
        <v>359</v>
      </c>
      <c r="C10" s="74" t="s">
        <v>124</v>
      </c>
      <c r="D10" s="71">
        <v>1003</v>
      </c>
      <c r="E10" s="7">
        <v>0</v>
      </c>
      <c r="F10" s="7">
        <f t="shared" si="5"/>
        <v>1003</v>
      </c>
      <c r="G10" s="6"/>
      <c r="H10" s="6"/>
      <c r="I10" s="6"/>
      <c r="J10" s="7">
        <f t="shared" si="6"/>
        <v>1003</v>
      </c>
      <c r="K10" s="6">
        <f t="shared" si="6"/>
        <v>0</v>
      </c>
      <c r="L10" s="6">
        <f t="shared" si="6"/>
        <v>1003</v>
      </c>
      <c r="M10" s="72"/>
      <c r="N10" s="71">
        <v>1003</v>
      </c>
      <c r="O10" s="7">
        <v>0</v>
      </c>
      <c r="P10" s="7">
        <f t="shared" si="7"/>
        <v>1003</v>
      </c>
      <c r="Q10" s="6"/>
      <c r="R10" s="6"/>
      <c r="S10" s="6"/>
      <c r="T10" s="7">
        <f t="shared" si="8"/>
        <v>1003</v>
      </c>
      <c r="U10" s="6">
        <f t="shared" si="8"/>
        <v>0</v>
      </c>
      <c r="V10" s="6">
        <f t="shared" si="8"/>
        <v>1003</v>
      </c>
      <c r="W10" s="160"/>
      <c r="X10" s="8">
        <f t="shared" si="9"/>
        <v>1003</v>
      </c>
      <c r="Y10" s="7">
        <f t="shared" si="10"/>
        <v>0</v>
      </c>
      <c r="Z10" s="7">
        <f t="shared" si="11"/>
        <v>1003</v>
      </c>
      <c r="AA10" s="22">
        <f t="shared" si="12"/>
        <v>0</v>
      </c>
      <c r="AB10" s="72"/>
      <c r="AC10" s="8">
        <v>1003</v>
      </c>
      <c r="AD10" s="7">
        <v>0</v>
      </c>
      <c r="AE10" s="6">
        <f t="shared" si="13"/>
        <v>1003</v>
      </c>
      <c r="AF10" s="161"/>
      <c r="AG10" s="22"/>
      <c r="AH10" s="6"/>
      <c r="AI10" s="6"/>
      <c r="AJ10" s="7">
        <f t="shared" si="14"/>
        <v>1003</v>
      </c>
      <c r="AK10" s="6">
        <f t="shared" si="14"/>
        <v>0</v>
      </c>
      <c r="AL10" s="6">
        <f t="shared" si="14"/>
        <v>1003</v>
      </c>
      <c r="AM10" s="6">
        <f t="shared" si="15"/>
        <v>0</v>
      </c>
      <c r="AN10" s="72"/>
      <c r="AO10" s="8">
        <v>1003</v>
      </c>
      <c r="AP10" s="7">
        <v>0</v>
      </c>
      <c r="AQ10" s="7">
        <f t="shared" si="16"/>
        <v>1003</v>
      </c>
      <c r="AR10" s="6"/>
      <c r="AS10" s="6"/>
      <c r="AT10" s="6"/>
      <c r="AU10" s="71">
        <f t="shared" si="17"/>
        <v>1003</v>
      </c>
      <c r="AV10" s="6">
        <f t="shared" si="17"/>
        <v>0</v>
      </c>
      <c r="AW10" s="6">
        <f t="shared" si="17"/>
        <v>1003</v>
      </c>
      <c r="AX10" s="6">
        <f t="shared" si="1"/>
        <v>0</v>
      </c>
      <c r="AY10" s="73"/>
      <c r="AZ10" s="8">
        <v>1003</v>
      </c>
      <c r="BA10" s="7">
        <v>0</v>
      </c>
      <c r="BB10" s="7">
        <f t="shared" si="2"/>
        <v>1003</v>
      </c>
      <c r="BC10" s="6"/>
      <c r="BD10" s="6"/>
      <c r="BE10" s="6"/>
      <c r="BF10" s="7">
        <f t="shared" si="18"/>
        <v>1003</v>
      </c>
      <c r="BG10" s="6">
        <f t="shared" si="18"/>
        <v>0</v>
      </c>
      <c r="BH10" s="6">
        <f t="shared" si="18"/>
        <v>1003</v>
      </c>
      <c r="BI10" s="162"/>
      <c r="BJ10" s="163">
        <v>1003</v>
      </c>
      <c r="BK10" s="164">
        <v>0</v>
      </c>
      <c r="BL10" s="164">
        <f t="shared" si="3"/>
        <v>1003</v>
      </c>
      <c r="BM10" s="165"/>
      <c r="BN10" s="165"/>
      <c r="BO10" s="165"/>
      <c r="BP10" s="6">
        <f t="shared" si="4"/>
        <v>1003</v>
      </c>
      <c r="BQ10" s="6">
        <f t="shared" si="4"/>
        <v>0</v>
      </c>
      <c r="BR10" s="6">
        <f t="shared" si="4"/>
        <v>1003</v>
      </c>
      <c r="BS10" s="166"/>
      <c r="BT10" s="2"/>
      <c r="BU10" s="2"/>
    </row>
    <row r="11" spans="1:73" ht="35.1" customHeight="1" x14ac:dyDescent="0.25">
      <c r="A11" s="11" t="s">
        <v>128</v>
      </c>
      <c r="B11" s="75" t="s">
        <v>0</v>
      </c>
      <c r="C11" s="70" t="s">
        <v>129</v>
      </c>
      <c r="D11" s="71">
        <v>248</v>
      </c>
      <c r="E11" s="7">
        <v>80</v>
      </c>
      <c r="F11" s="7">
        <f t="shared" si="5"/>
        <v>328</v>
      </c>
      <c r="G11" s="6"/>
      <c r="H11" s="6"/>
      <c r="I11" s="6"/>
      <c r="J11" s="7">
        <f t="shared" si="6"/>
        <v>248</v>
      </c>
      <c r="K11" s="6">
        <f t="shared" si="6"/>
        <v>80</v>
      </c>
      <c r="L11" s="7">
        <f t="shared" si="6"/>
        <v>328</v>
      </c>
      <c r="M11" s="96"/>
      <c r="N11" s="71">
        <v>248</v>
      </c>
      <c r="O11" s="7">
        <v>83</v>
      </c>
      <c r="P11" s="7">
        <f t="shared" si="7"/>
        <v>331</v>
      </c>
      <c r="Q11" s="6"/>
      <c r="R11" s="6"/>
      <c r="S11" s="6"/>
      <c r="T11" s="7">
        <f t="shared" si="8"/>
        <v>248</v>
      </c>
      <c r="U11" s="6">
        <f t="shared" si="8"/>
        <v>83</v>
      </c>
      <c r="V11" s="6">
        <f t="shared" si="8"/>
        <v>331</v>
      </c>
      <c r="W11" s="160">
        <v>3</v>
      </c>
      <c r="X11" s="8">
        <f t="shared" si="9"/>
        <v>248</v>
      </c>
      <c r="Y11" s="7">
        <f t="shared" si="10"/>
        <v>80</v>
      </c>
      <c r="Z11" s="7">
        <f t="shared" si="11"/>
        <v>328</v>
      </c>
      <c r="AA11" s="22">
        <f t="shared" si="12"/>
        <v>0</v>
      </c>
      <c r="AB11" s="72"/>
      <c r="AC11" s="8">
        <v>248</v>
      </c>
      <c r="AD11" s="7">
        <v>83</v>
      </c>
      <c r="AE11" s="6">
        <f t="shared" si="13"/>
        <v>331</v>
      </c>
      <c r="AF11" s="161">
        <v>6</v>
      </c>
      <c r="AG11" s="22"/>
      <c r="AH11" s="6"/>
      <c r="AI11" s="6"/>
      <c r="AJ11" s="7">
        <f t="shared" si="14"/>
        <v>248</v>
      </c>
      <c r="AK11" s="6">
        <f>AD11-AF11-AH11</f>
        <v>77</v>
      </c>
      <c r="AL11" s="6">
        <f>AE11-AI11-AF11</f>
        <v>325</v>
      </c>
      <c r="AM11" s="6">
        <f t="shared" si="15"/>
        <v>6</v>
      </c>
      <c r="AN11" s="72"/>
      <c r="AO11" s="8">
        <v>248</v>
      </c>
      <c r="AP11" s="7">
        <v>83</v>
      </c>
      <c r="AQ11" s="7">
        <f t="shared" si="16"/>
        <v>331</v>
      </c>
      <c r="AR11" s="6"/>
      <c r="AS11" s="6"/>
      <c r="AT11" s="6"/>
      <c r="AU11" s="71">
        <f t="shared" si="17"/>
        <v>248</v>
      </c>
      <c r="AV11" s="6">
        <f t="shared" si="17"/>
        <v>83</v>
      </c>
      <c r="AW11" s="6">
        <f t="shared" si="17"/>
        <v>331</v>
      </c>
      <c r="AX11" s="6">
        <f t="shared" si="1"/>
        <v>-6</v>
      </c>
      <c r="AY11" s="73"/>
      <c r="AZ11" s="8">
        <v>248</v>
      </c>
      <c r="BA11" s="7">
        <v>83</v>
      </c>
      <c r="BB11" s="7">
        <f t="shared" si="2"/>
        <v>331</v>
      </c>
      <c r="BC11" s="6"/>
      <c r="BD11" s="6"/>
      <c r="BE11" s="6"/>
      <c r="BF11" s="7">
        <f t="shared" si="18"/>
        <v>248</v>
      </c>
      <c r="BG11" s="6">
        <f t="shared" si="18"/>
        <v>83</v>
      </c>
      <c r="BH11" s="6">
        <f t="shared" si="18"/>
        <v>331</v>
      </c>
      <c r="BI11" s="162"/>
      <c r="BJ11" s="163">
        <v>248</v>
      </c>
      <c r="BK11" s="164">
        <v>83</v>
      </c>
      <c r="BL11" s="164">
        <f t="shared" si="3"/>
        <v>331</v>
      </c>
      <c r="BM11" s="165"/>
      <c r="BN11" s="165"/>
      <c r="BO11" s="165"/>
      <c r="BP11" s="6">
        <f t="shared" si="4"/>
        <v>248</v>
      </c>
      <c r="BQ11" s="6">
        <f t="shared" si="4"/>
        <v>83</v>
      </c>
      <c r="BR11" s="6">
        <f t="shared" si="4"/>
        <v>331</v>
      </c>
      <c r="BS11" s="166"/>
      <c r="BT11" s="2"/>
      <c r="BU11" s="2"/>
    </row>
    <row r="12" spans="1:73" ht="48" customHeight="1" x14ac:dyDescent="0.25">
      <c r="A12" s="10" t="s">
        <v>130</v>
      </c>
      <c r="B12" s="9" t="s">
        <v>131</v>
      </c>
      <c r="C12" s="74" t="s">
        <v>129</v>
      </c>
      <c r="D12" s="71">
        <v>5000</v>
      </c>
      <c r="E12" s="7">
        <v>0</v>
      </c>
      <c r="F12" s="7">
        <f t="shared" si="5"/>
        <v>5000</v>
      </c>
      <c r="G12" s="6"/>
      <c r="H12" s="6"/>
      <c r="I12" s="6"/>
      <c r="J12" s="7">
        <f t="shared" si="6"/>
        <v>5000</v>
      </c>
      <c r="K12" s="6">
        <f t="shared" si="6"/>
        <v>0</v>
      </c>
      <c r="L12" s="6">
        <f t="shared" si="6"/>
        <v>5000</v>
      </c>
      <c r="M12" s="273" t="s">
        <v>338</v>
      </c>
      <c r="N12" s="71">
        <v>5000</v>
      </c>
      <c r="O12" s="7">
        <v>0</v>
      </c>
      <c r="P12" s="7">
        <f t="shared" si="7"/>
        <v>5000</v>
      </c>
      <c r="Q12" s="6"/>
      <c r="R12" s="6"/>
      <c r="S12" s="6"/>
      <c r="T12" s="7">
        <f t="shared" si="8"/>
        <v>5000</v>
      </c>
      <c r="U12" s="6">
        <f t="shared" si="8"/>
        <v>0</v>
      </c>
      <c r="V12" s="6">
        <f t="shared" si="8"/>
        <v>5000</v>
      </c>
      <c r="W12" s="160"/>
      <c r="X12" s="8">
        <f t="shared" si="9"/>
        <v>5000</v>
      </c>
      <c r="Y12" s="7">
        <f t="shared" si="10"/>
        <v>0</v>
      </c>
      <c r="Z12" s="7">
        <f t="shared" si="11"/>
        <v>5000</v>
      </c>
      <c r="AA12" s="22">
        <f t="shared" si="12"/>
        <v>0</v>
      </c>
      <c r="AB12" s="73" t="s">
        <v>132</v>
      </c>
      <c r="AC12" s="8">
        <v>5000</v>
      </c>
      <c r="AD12" s="7">
        <v>0</v>
      </c>
      <c r="AE12" s="6">
        <f t="shared" si="13"/>
        <v>5000</v>
      </c>
      <c r="AF12" s="161"/>
      <c r="AG12" s="22"/>
      <c r="AH12" s="6"/>
      <c r="AI12" s="6"/>
      <c r="AJ12" s="7">
        <f t="shared" si="14"/>
        <v>5000</v>
      </c>
      <c r="AK12" s="6">
        <f t="shared" si="14"/>
        <v>0</v>
      </c>
      <c r="AL12" s="6">
        <f t="shared" si="14"/>
        <v>5000</v>
      </c>
      <c r="AM12" s="6">
        <f t="shared" si="15"/>
        <v>0</v>
      </c>
      <c r="AN12" s="73" t="s">
        <v>260</v>
      </c>
      <c r="AO12" s="8">
        <v>5000</v>
      </c>
      <c r="AP12" s="7">
        <v>0</v>
      </c>
      <c r="AQ12" s="7">
        <f t="shared" si="16"/>
        <v>5000</v>
      </c>
      <c r="AR12" s="6"/>
      <c r="AS12" s="6"/>
      <c r="AT12" s="6"/>
      <c r="AU12" s="71">
        <f t="shared" si="17"/>
        <v>5000</v>
      </c>
      <c r="AV12" s="6">
        <f t="shared" si="17"/>
        <v>0</v>
      </c>
      <c r="AW12" s="6">
        <f t="shared" si="17"/>
        <v>5000</v>
      </c>
      <c r="AX12" s="6">
        <f t="shared" si="1"/>
        <v>0</v>
      </c>
      <c r="AY12" s="73"/>
      <c r="AZ12" s="8">
        <v>5000</v>
      </c>
      <c r="BA12" s="7">
        <v>0</v>
      </c>
      <c r="BB12" s="7">
        <f t="shared" si="2"/>
        <v>5000</v>
      </c>
      <c r="BC12" s="6"/>
      <c r="BD12" s="6"/>
      <c r="BE12" s="6"/>
      <c r="BF12" s="7">
        <f t="shared" si="18"/>
        <v>5000</v>
      </c>
      <c r="BG12" s="6">
        <f t="shared" si="18"/>
        <v>0</v>
      </c>
      <c r="BH12" s="6">
        <f t="shared" si="18"/>
        <v>5000</v>
      </c>
      <c r="BI12" s="162"/>
      <c r="BJ12" s="163">
        <v>0</v>
      </c>
      <c r="BK12" s="164">
        <v>0</v>
      </c>
      <c r="BL12" s="164">
        <f t="shared" si="3"/>
        <v>0</v>
      </c>
      <c r="BM12" s="165"/>
      <c r="BN12" s="165"/>
      <c r="BO12" s="165"/>
      <c r="BP12" s="6">
        <f t="shared" si="4"/>
        <v>0</v>
      </c>
      <c r="BQ12" s="6">
        <f t="shared" si="4"/>
        <v>0</v>
      </c>
      <c r="BR12" s="6">
        <f t="shared" si="4"/>
        <v>0</v>
      </c>
      <c r="BS12" s="166"/>
      <c r="BT12" s="2"/>
      <c r="BU12" s="2"/>
    </row>
    <row r="13" spans="1:73" ht="35.1" customHeight="1" x14ac:dyDescent="0.25">
      <c r="A13" s="11" t="s">
        <v>133</v>
      </c>
      <c r="B13" s="12" t="s">
        <v>1</v>
      </c>
      <c r="C13" s="70" t="s">
        <v>124</v>
      </c>
      <c r="D13" s="71">
        <v>1656</v>
      </c>
      <c r="E13" s="7">
        <v>0</v>
      </c>
      <c r="F13" s="7">
        <f t="shared" si="5"/>
        <v>1656</v>
      </c>
      <c r="G13" s="6"/>
      <c r="H13" s="6"/>
      <c r="I13" s="6"/>
      <c r="J13" s="7">
        <f t="shared" si="6"/>
        <v>1656</v>
      </c>
      <c r="K13" s="6">
        <f t="shared" si="6"/>
        <v>0</v>
      </c>
      <c r="L13" s="7">
        <f t="shared" si="6"/>
        <v>1656</v>
      </c>
      <c r="M13" s="96"/>
      <c r="N13" s="71">
        <v>1656</v>
      </c>
      <c r="O13" s="7">
        <v>0</v>
      </c>
      <c r="P13" s="7">
        <f t="shared" si="7"/>
        <v>1656</v>
      </c>
      <c r="Q13" s="6"/>
      <c r="R13" s="6"/>
      <c r="S13" s="6"/>
      <c r="T13" s="7">
        <f t="shared" si="8"/>
        <v>1656</v>
      </c>
      <c r="U13" s="6">
        <f t="shared" si="8"/>
        <v>0</v>
      </c>
      <c r="V13" s="6">
        <f t="shared" si="8"/>
        <v>1656</v>
      </c>
      <c r="W13" s="160"/>
      <c r="X13" s="8">
        <f t="shared" si="9"/>
        <v>1656</v>
      </c>
      <c r="Y13" s="7">
        <f t="shared" si="10"/>
        <v>0</v>
      </c>
      <c r="Z13" s="7">
        <f t="shared" si="11"/>
        <v>1656</v>
      </c>
      <c r="AA13" s="22">
        <f t="shared" si="12"/>
        <v>0</v>
      </c>
      <c r="AB13" s="72"/>
      <c r="AC13" s="8">
        <v>1656</v>
      </c>
      <c r="AD13" s="7">
        <v>0</v>
      </c>
      <c r="AE13" s="6">
        <f t="shared" si="13"/>
        <v>1656</v>
      </c>
      <c r="AF13" s="161"/>
      <c r="AG13" s="22"/>
      <c r="AH13" s="6"/>
      <c r="AI13" s="6"/>
      <c r="AJ13" s="7">
        <f t="shared" si="14"/>
        <v>1656</v>
      </c>
      <c r="AK13" s="6">
        <f t="shared" si="14"/>
        <v>0</v>
      </c>
      <c r="AL13" s="6">
        <f t="shared" si="14"/>
        <v>1656</v>
      </c>
      <c r="AM13" s="6">
        <f t="shared" si="15"/>
        <v>0</v>
      </c>
      <c r="AN13" s="72"/>
      <c r="AO13" s="8">
        <v>1656</v>
      </c>
      <c r="AP13" s="7">
        <v>0</v>
      </c>
      <c r="AQ13" s="7">
        <f t="shared" si="16"/>
        <v>1656</v>
      </c>
      <c r="AR13" s="6"/>
      <c r="AS13" s="6"/>
      <c r="AT13" s="6"/>
      <c r="AU13" s="71">
        <f t="shared" si="17"/>
        <v>1656</v>
      </c>
      <c r="AV13" s="6">
        <f t="shared" si="17"/>
        <v>0</v>
      </c>
      <c r="AW13" s="6">
        <f t="shared" si="17"/>
        <v>1656</v>
      </c>
      <c r="AX13" s="6">
        <f t="shared" si="1"/>
        <v>0</v>
      </c>
      <c r="AY13" s="73"/>
      <c r="AZ13" s="8">
        <v>1656</v>
      </c>
      <c r="BA13" s="7">
        <v>0</v>
      </c>
      <c r="BB13" s="7">
        <f t="shared" si="2"/>
        <v>1656</v>
      </c>
      <c r="BC13" s="6"/>
      <c r="BD13" s="6"/>
      <c r="BE13" s="6"/>
      <c r="BF13" s="7">
        <f t="shared" si="18"/>
        <v>1656</v>
      </c>
      <c r="BG13" s="6">
        <f t="shared" si="18"/>
        <v>0</v>
      </c>
      <c r="BH13" s="6">
        <f t="shared" si="18"/>
        <v>1656</v>
      </c>
      <c r="BI13" s="162"/>
      <c r="BJ13" s="163">
        <v>1656</v>
      </c>
      <c r="BK13" s="164">
        <v>0</v>
      </c>
      <c r="BL13" s="164">
        <f t="shared" si="3"/>
        <v>1656</v>
      </c>
      <c r="BM13" s="165"/>
      <c r="BN13" s="165"/>
      <c r="BO13" s="165"/>
      <c r="BP13" s="6">
        <f t="shared" si="4"/>
        <v>1656</v>
      </c>
      <c r="BQ13" s="6">
        <f t="shared" si="4"/>
        <v>0</v>
      </c>
      <c r="BR13" s="6">
        <f t="shared" si="4"/>
        <v>1656</v>
      </c>
      <c r="BS13" s="166"/>
      <c r="BT13" s="2"/>
      <c r="BU13" s="2"/>
    </row>
    <row r="14" spans="1:73" ht="35.1" customHeight="1" x14ac:dyDescent="0.25">
      <c r="A14" s="11" t="s">
        <v>134</v>
      </c>
      <c r="B14" s="76" t="s">
        <v>80</v>
      </c>
      <c r="C14" s="70" t="s">
        <v>124</v>
      </c>
      <c r="D14" s="71">
        <v>1601</v>
      </c>
      <c r="E14" s="7">
        <v>0</v>
      </c>
      <c r="F14" s="7">
        <f t="shared" si="5"/>
        <v>1601</v>
      </c>
      <c r="G14" s="6"/>
      <c r="H14" s="6"/>
      <c r="I14" s="6"/>
      <c r="J14" s="7">
        <f t="shared" si="6"/>
        <v>1601</v>
      </c>
      <c r="K14" s="6">
        <f t="shared" si="6"/>
        <v>0</v>
      </c>
      <c r="L14" s="6">
        <f t="shared" si="6"/>
        <v>1601</v>
      </c>
      <c r="M14" s="72"/>
      <c r="N14" s="71">
        <v>1601</v>
      </c>
      <c r="O14" s="7">
        <v>0</v>
      </c>
      <c r="P14" s="7">
        <f t="shared" si="7"/>
        <v>1601</v>
      </c>
      <c r="Q14" s="6"/>
      <c r="R14" s="6"/>
      <c r="S14" s="6"/>
      <c r="T14" s="7">
        <f t="shared" si="8"/>
        <v>1601</v>
      </c>
      <c r="U14" s="6">
        <f t="shared" si="8"/>
        <v>0</v>
      </c>
      <c r="V14" s="6">
        <f t="shared" si="8"/>
        <v>1601</v>
      </c>
      <c r="W14" s="160"/>
      <c r="X14" s="8">
        <f t="shared" si="9"/>
        <v>1601</v>
      </c>
      <c r="Y14" s="7">
        <f t="shared" si="10"/>
        <v>0</v>
      </c>
      <c r="Z14" s="7">
        <f t="shared" si="11"/>
        <v>1601</v>
      </c>
      <c r="AA14" s="22">
        <f t="shared" si="12"/>
        <v>0</v>
      </c>
      <c r="AB14" s="72"/>
      <c r="AC14" s="8">
        <v>1601</v>
      </c>
      <c r="AD14" s="7">
        <v>0</v>
      </c>
      <c r="AE14" s="6">
        <f t="shared" si="13"/>
        <v>1601</v>
      </c>
      <c r="AF14" s="161"/>
      <c r="AG14" s="22"/>
      <c r="AH14" s="6"/>
      <c r="AI14" s="6"/>
      <c r="AJ14" s="7">
        <f t="shared" si="14"/>
        <v>1601</v>
      </c>
      <c r="AK14" s="6">
        <f t="shared" si="14"/>
        <v>0</v>
      </c>
      <c r="AL14" s="6">
        <f t="shared" si="14"/>
        <v>1601</v>
      </c>
      <c r="AM14" s="6">
        <f t="shared" si="15"/>
        <v>0</v>
      </c>
      <c r="AN14" s="72"/>
      <c r="AO14" s="8">
        <v>1601</v>
      </c>
      <c r="AP14" s="7">
        <v>0</v>
      </c>
      <c r="AQ14" s="7">
        <f t="shared" si="16"/>
        <v>1601</v>
      </c>
      <c r="AR14" s="6"/>
      <c r="AS14" s="6"/>
      <c r="AT14" s="6"/>
      <c r="AU14" s="71">
        <f t="shared" si="17"/>
        <v>1601</v>
      </c>
      <c r="AV14" s="6">
        <f t="shared" si="17"/>
        <v>0</v>
      </c>
      <c r="AW14" s="6">
        <f t="shared" si="17"/>
        <v>1601</v>
      </c>
      <c r="AX14" s="6">
        <f t="shared" si="1"/>
        <v>0</v>
      </c>
      <c r="AY14" s="73" t="s">
        <v>261</v>
      </c>
      <c r="AZ14" s="8"/>
      <c r="BA14" s="7"/>
      <c r="BB14" s="7"/>
      <c r="BC14" s="6"/>
      <c r="BD14" s="6"/>
      <c r="BE14" s="6"/>
      <c r="BF14" s="7">
        <v>0</v>
      </c>
      <c r="BG14" s="6">
        <v>0</v>
      </c>
      <c r="BH14" s="6">
        <v>0</v>
      </c>
      <c r="BI14" s="162"/>
      <c r="BJ14" s="163"/>
      <c r="BK14" s="164"/>
      <c r="BL14" s="164"/>
      <c r="BM14" s="165"/>
      <c r="BN14" s="165"/>
      <c r="BO14" s="165"/>
      <c r="BP14" s="6"/>
      <c r="BQ14" s="6"/>
      <c r="BR14" s="6"/>
      <c r="BS14" s="166"/>
      <c r="BT14" s="2"/>
      <c r="BU14" s="2"/>
    </row>
    <row r="15" spans="1:73" ht="64.5" hidden="1" customHeight="1" x14ac:dyDescent="0.25">
      <c r="A15" s="102" t="s">
        <v>135</v>
      </c>
      <c r="B15" s="9" t="s">
        <v>136</v>
      </c>
      <c r="C15" s="74" t="s">
        <v>129</v>
      </c>
      <c r="D15" s="71"/>
      <c r="E15" s="7"/>
      <c r="F15" s="7"/>
      <c r="G15" s="6"/>
      <c r="H15" s="6"/>
      <c r="I15" s="6"/>
      <c r="J15" s="7">
        <f t="shared" si="6"/>
        <v>0</v>
      </c>
      <c r="K15" s="6">
        <f t="shared" si="6"/>
        <v>0</v>
      </c>
      <c r="L15" s="7">
        <f t="shared" si="6"/>
        <v>0</v>
      </c>
      <c r="M15" s="101" t="s">
        <v>218</v>
      </c>
      <c r="N15" s="7">
        <v>312</v>
      </c>
      <c r="O15" s="7">
        <v>9688</v>
      </c>
      <c r="P15" s="7">
        <f t="shared" si="7"/>
        <v>10000</v>
      </c>
      <c r="Q15" s="6"/>
      <c r="R15" s="6"/>
      <c r="S15" s="6"/>
      <c r="T15" s="7">
        <f t="shared" si="8"/>
        <v>312</v>
      </c>
      <c r="U15" s="6">
        <f t="shared" si="8"/>
        <v>9688</v>
      </c>
      <c r="V15" s="6">
        <f t="shared" si="8"/>
        <v>10000</v>
      </c>
      <c r="W15" s="160"/>
      <c r="X15" s="8">
        <f t="shared" si="9"/>
        <v>312</v>
      </c>
      <c r="Y15" s="7">
        <f t="shared" si="10"/>
        <v>9688</v>
      </c>
      <c r="Z15" s="7">
        <f t="shared" si="11"/>
        <v>10000</v>
      </c>
      <c r="AA15" s="22">
        <f t="shared" si="12"/>
        <v>-10000</v>
      </c>
      <c r="AB15" s="73" t="s">
        <v>262</v>
      </c>
      <c r="AC15" s="8">
        <v>794</v>
      </c>
      <c r="AD15" s="7">
        <v>3963</v>
      </c>
      <c r="AE15" s="6">
        <f t="shared" si="13"/>
        <v>4757</v>
      </c>
      <c r="AF15" s="161"/>
      <c r="AG15" s="22"/>
      <c r="AH15" s="6"/>
      <c r="AI15" s="6"/>
      <c r="AJ15" s="7">
        <f t="shared" si="14"/>
        <v>794</v>
      </c>
      <c r="AK15" s="6">
        <f t="shared" si="14"/>
        <v>3963</v>
      </c>
      <c r="AL15" s="6">
        <f t="shared" si="14"/>
        <v>4757</v>
      </c>
      <c r="AM15" s="6">
        <f t="shared" si="15"/>
        <v>5243</v>
      </c>
      <c r="AN15" s="73" t="s">
        <v>263</v>
      </c>
      <c r="AO15" s="8">
        <v>9022</v>
      </c>
      <c r="AP15" s="7">
        <v>0</v>
      </c>
      <c r="AQ15" s="7">
        <f t="shared" si="16"/>
        <v>9022</v>
      </c>
      <c r="AR15" s="6"/>
      <c r="AS15" s="6"/>
      <c r="AT15" s="6"/>
      <c r="AU15" s="71">
        <f t="shared" si="17"/>
        <v>9022</v>
      </c>
      <c r="AV15" s="6">
        <f t="shared" si="17"/>
        <v>0</v>
      </c>
      <c r="AW15" s="6">
        <f t="shared" si="17"/>
        <v>9022</v>
      </c>
      <c r="AX15" s="6">
        <f t="shared" si="1"/>
        <v>-4265</v>
      </c>
      <c r="AY15" s="78" t="s">
        <v>264</v>
      </c>
      <c r="AZ15" s="8"/>
      <c r="BA15" s="7"/>
      <c r="BB15" s="7"/>
      <c r="BC15" s="6"/>
      <c r="BD15" s="6"/>
      <c r="BE15" s="6"/>
      <c r="BF15" s="7">
        <v>0</v>
      </c>
      <c r="BG15" s="6">
        <v>0</v>
      </c>
      <c r="BH15" s="6">
        <v>0</v>
      </c>
      <c r="BI15" s="162"/>
      <c r="BJ15" s="163"/>
      <c r="BK15" s="164"/>
      <c r="BL15" s="164"/>
      <c r="BM15" s="165"/>
      <c r="BN15" s="165"/>
      <c r="BO15" s="165"/>
      <c r="BP15" s="6"/>
      <c r="BQ15" s="6"/>
      <c r="BR15" s="6"/>
      <c r="BS15" s="166"/>
      <c r="BT15" s="2"/>
      <c r="BU15" s="2"/>
    </row>
    <row r="16" spans="1:73" s="5" customFormat="1" ht="25.5" x14ac:dyDescent="0.25">
      <c r="A16" s="79"/>
      <c r="B16" s="80" t="s">
        <v>137</v>
      </c>
      <c r="C16" s="81"/>
      <c r="D16" s="82">
        <f>SUM(D8:D15)</f>
        <v>13319</v>
      </c>
      <c r="E16" s="15">
        <f>SUM(E8:E15)</f>
        <v>2540</v>
      </c>
      <c r="F16" s="15">
        <f>SUM(F8:F15)</f>
        <v>15859</v>
      </c>
      <c r="G16" s="14"/>
      <c r="H16" s="14"/>
      <c r="I16" s="14"/>
      <c r="J16" s="15">
        <f>SUM(J8:J15)</f>
        <v>13319</v>
      </c>
      <c r="K16" s="15">
        <f>SUM(K8:K15)</f>
        <v>2540</v>
      </c>
      <c r="L16" s="14">
        <f>SUM(L8:L15)</f>
        <v>15859</v>
      </c>
      <c r="M16" s="83"/>
      <c r="N16" s="82">
        <f>SUM(N8:N15)</f>
        <v>13631</v>
      </c>
      <c r="O16" s="15">
        <f>SUM(O8:O15)</f>
        <v>12335</v>
      </c>
      <c r="P16" s="15">
        <f>SUM(P8:P15)</f>
        <v>25966</v>
      </c>
      <c r="Q16" s="14"/>
      <c r="R16" s="14"/>
      <c r="S16" s="14"/>
      <c r="T16" s="15">
        <f>SUM(T8:T15)</f>
        <v>13631</v>
      </c>
      <c r="U16" s="15">
        <f>SUM(U8:U15)</f>
        <v>12335</v>
      </c>
      <c r="V16" s="14">
        <f t="shared" ref="V16:AA16" si="19">SUM(V8:V15)</f>
        <v>25966</v>
      </c>
      <c r="W16" s="167">
        <f t="shared" si="19"/>
        <v>107</v>
      </c>
      <c r="X16" s="16">
        <f t="shared" si="19"/>
        <v>13631</v>
      </c>
      <c r="Y16" s="15">
        <f t="shared" si="19"/>
        <v>12228</v>
      </c>
      <c r="Z16" s="15">
        <f t="shared" si="19"/>
        <v>25859</v>
      </c>
      <c r="AA16" s="26">
        <f t="shared" si="19"/>
        <v>-10000</v>
      </c>
      <c r="AB16" s="83"/>
      <c r="AC16" s="16">
        <f>SUM(AC8:AC15)</f>
        <v>14113</v>
      </c>
      <c r="AD16" s="15">
        <f>SUM(AD8:AD15)</f>
        <v>6610</v>
      </c>
      <c r="AE16" s="14">
        <f>SUM(AE8:AE15)</f>
        <v>20723</v>
      </c>
      <c r="AF16" s="168">
        <f>SUM(AF8:AF15)</f>
        <v>206</v>
      </c>
      <c r="AG16" s="26"/>
      <c r="AH16" s="14"/>
      <c r="AI16" s="14"/>
      <c r="AJ16" s="15">
        <f>SUM(AJ8:AJ15)</f>
        <v>14113</v>
      </c>
      <c r="AK16" s="15">
        <f>SUM(AK8:AK15)</f>
        <v>6404</v>
      </c>
      <c r="AL16" s="14">
        <f>SUM(AL8:AL15)</f>
        <v>20517</v>
      </c>
      <c r="AM16" s="14">
        <f>SUM(AM8:AM15)</f>
        <v>5449</v>
      </c>
      <c r="AN16" s="83"/>
      <c r="AO16" s="16">
        <f>SUM(AO8:AO15)</f>
        <v>22341</v>
      </c>
      <c r="AP16" s="15">
        <f>SUM(AP8:AP15)</f>
        <v>2647</v>
      </c>
      <c r="AQ16" s="15">
        <f>SUM(AQ8:AQ15)</f>
        <v>24988</v>
      </c>
      <c r="AR16" s="14"/>
      <c r="AS16" s="14"/>
      <c r="AT16" s="14"/>
      <c r="AU16" s="82">
        <f>SUM(AU8:AU15)</f>
        <v>22341</v>
      </c>
      <c r="AV16" s="15">
        <f>SUM(AV8:AV15)</f>
        <v>2647</v>
      </c>
      <c r="AW16" s="15">
        <f>SUM(AW8:AW15)</f>
        <v>24988</v>
      </c>
      <c r="AX16" s="15">
        <f>SUM(AX8:AX15)</f>
        <v>-4471</v>
      </c>
      <c r="AY16" s="169"/>
      <c r="AZ16" s="16">
        <f>SUM(AZ8:AZ13)</f>
        <v>11718</v>
      </c>
      <c r="BA16" s="15">
        <f>SUM(BA8:BA13)</f>
        <v>2647</v>
      </c>
      <c r="BB16" s="15">
        <f>SUM(BB8:BB13)</f>
        <v>14365</v>
      </c>
      <c r="BC16" s="14"/>
      <c r="BD16" s="14"/>
      <c r="BE16" s="14"/>
      <c r="BF16" s="15">
        <f t="shared" si="18"/>
        <v>11718</v>
      </c>
      <c r="BG16" s="14">
        <f t="shared" si="18"/>
        <v>2647</v>
      </c>
      <c r="BH16" s="14">
        <f t="shared" si="18"/>
        <v>14365</v>
      </c>
      <c r="BI16" s="170"/>
      <c r="BJ16" s="171">
        <f>SUM(BJ8:BJ13)</f>
        <v>6718</v>
      </c>
      <c r="BK16" s="172">
        <f>SUM(BK8:BK13)</f>
        <v>2647</v>
      </c>
      <c r="BL16" s="172">
        <f>SUM(BL8:BL13)</f>
        <v>9365</v>
      </c>
      <c r="BM16" s="173"/>
      <c r="BN16" s="173"/>
      <c r="BO16" s="173"/>
      <c r="BP16" s="14">
        <f t="shared" si="4"/>
        <v>6718</v>
      </c>
      <c r="BQ16" s="14">
        <f t="shared" si="4"/>
        <v>2647</v>
      </c>
      <c r="BR16" s="14">
        <f t="shared" si="4"/>
        <v>9365</v>
      </c>
      <c r="BS16" s="174"/>
      <c r="BT16" s="2"/>
      <c r="BU16" s="2"/>
    </row>
    <row r="17" spans="1:73" ht="122.25" customHeight="1" x14ac:dyDescent="0.25">
      <c r="A17" s="10" t="s">
        <v>138</v>
      </c>
      <c r="B17" s="9" t="s">
        <v>139</v>
      </c>
      <c r="C17" s="74" t="s">
        <v>139</v>
      </c>
      <c r="D17" s="84">
        <v>7350</v>
      </c>
      <c r="E17" s="6">
        <v>762</v>
      </c>
      <c r="F17" s="7">
        <f t="shared" ref="F17:F24" si="20">SUM(D17:E17)</f>
        <v>8112</v>
      </c>
      <c r="G17" s="6">
        <f>D17*10%</f>
        <v>735</v>
      </c>
      <c r="H17" s="6">
        <f>E17*5%</f>
        <v>38.1</v>
      </c>
      <c r="I17" s="6">
        <f>SUM(G17:H17)-1</f>
        <v>772.1</v>
      </c>
      <c r="J17" s="7">
        <f t="shared" ref="J17:L23" si="21">D17-G17</f>
        <v>6615</v>
      </c>
      <c r="K17" s="6">
        <f t="shared" si="21"/>
        <v>723.9</v>
      </c>
      <c r="L17" s="6">
        <f>F17-I17-1</f>
        <v>7338.9</v>
      </c>
      <c r="M17" s="69" t="s">
        <v>403</v>
      </c>
      <c r="N17" s="84">
        <v>6245</v>
      </c>
      <c r="O17" s="6">
        <v>684</v>
      </c>
      <c r="P17" s="7">
        <f>SUM(N17:O17)</f>
        <v>6929</v>
      </c>
      <c r="Q17" s="6">
        <f>N17*10%</f>
        <v>624.5</v>
      </c>
      <c r="R17" s="6">
        <f>O17*5%</f>
        <v>34.200000000000003</v>
      </c>
      <c r="S17" s="6">
        <f>SUM(Q17:R17)</f>
        <v>658.7</v>
      </c>
      <c r="T17" s="7">
        <f>N17-Q17-1</f>
        <v>5619.5</v>
      </c>
      <c r="U17" s="6">
        <f>O17-R17</f>
        <v>649.79999999999995</v>
      </c>
      <c r="V17" s="6">
        <f>P17-S17</f>
        <v>6270.3</v>
      </c>
      <c r="W17" s="160">
        <v>26</v>
      </c>
      <c r="X17" s="8">
        <f>T17</f>
        <v>5619.5</v>
      </c>
      <c r="Y17" s="7">
        <f>U17-W17</f>
        <v>623.79999999999995</v>
      </c>
      <c r="Z17" s="7">
        <f>X17+Y17+1</f>
        <v>6244.3</v>
      </c>
      <c r="AA17" s="7">
        <f>L17-Z17</f>
        <v>1094.5999999999995</v>
      </c>
      <c r="AB17" s="103" t="s">
        <v>265</v>
      </c>
      <c r="AC17" s="22">
        <f>5074+200+978</f>
        <v>6252</v>
      </c>
      <c r="AD17" s="6">
        <f>604+73</f>
        <v>677</v>
      </c>
      <c r="AE17" s="6">
        <f>SUM(AC17:AD17)</f>
        <v>6929</v>
      </c>
      <c r="AF17" s="161">
        <v>53</v>
      </c>
      <c r="AG17" s="22">
        <v>625</v>
      </c>
      <c r="AH17" s="6">
        <v>31</v>
      </c>
      <c r="AI17" s="6">
        <f>SUM(AG17:AH17)</f>
        <v>656</v>
      </c>
      <c r="AJ17" s="7">
        <f>AC17-AG17</f>
        <v>5627</v>
      </c>
      <c r="AK17" s="6">
        <f>AD17-AH17-AF17</f>
        <v>593</v>
      </c>
      <c r="AL17" s="6">
        <f>AE17-AI17-AF17</f>
        <v>6220</v>
      </c>
      <c r="AM17" s="6">
        <f>V17-AL17</f>
        <v>50.300000000000182</v>
      </c>
      <c r="AN17" s="69" t="s">
        <v>266</v>
      </c>
      <c r="AO17" s="22">
        <f>5074+978</f>
        <v>6052</v>
      </c>
      <c r="AP17" s="6">
        <f>604+73</f>
        <v>677</v>
      </c>
      <c r="AQ17" s="7">
        <f>SUM(AO17:AP17)</f>
        <v>6729</v>
      </c>
      <c r="AR17" s="17">
        <v>508</v>
      </c>
      <c r="AS17" s="6">
        <v>30</v>
      </c>
      <c r="AT17" s="6">
        <f>SUM(AR17:AS17)</f>
        <v>538</v>
      </c>
      <c r="AU17" s="71">
        <f>AO17-AR17</f>
        <v>5544</v>
      </c>
      <c r="AV17" s="6">
        <f>AP17-AS17</f>
        <v>647</v>
      </c>
      <c r="AW17" s="6">
        <f>AQ17-AT17</f>
        <v>6191</v>
      </c>
      <c r="AX17" s="6">
        <f t="shared" ref="AX17:AX24" si="22">AL17-AW17</f>
        <v>29</v>
      </c>
      <c r="AY17" s="175" t="s">
        <v>267</v>
      </c>
      <c r="AZ17" s="22">
        <v>4630</v>
      </c>
      <c r="BA17" s="6">
        <v>393</v>
      </c>
      <c r="BB17" s="7">
        <f t="shared" ref="BB17:BB22" si="23">SUM(AZ17:BA17)</f>
        <v>5023</v>
      </c>
      <c r="BC17" s="6">
        <v>463</v>
      </c>
      <c r="BD17" s="6">
        <v>20</v>
      </c>
      <c r="BE17" s="6">
        <f>SUM(BC17:BD17)</f>
        <v>483</v>
      </c>
      <c r="BF17" s="7">
        <f t="shared" si="18"/>
        <v>4167</v>
      </c>
      <c r="BG17" s="6">
        <f t="shared" si="18"/>
        <v>373</v>
      </c>
      <c r="BH17" s="6">
        <f t="shared" si="18"/>
        <v>4540</v>
      </c>
      <c r="BI17" s="162" t="s">
        <v>268</v>
      </c>
      <c r="BJ17" s="163">
        <v>4167</v>
      </c>
      <c r="BK17" s="164">
        <v>373</v>
      </c>
      <c r="BL17" s="164">
        <f>SUM(BJ17:BK17)</f>
        <v>4540</v>
      </c>
      <c r="BM17" s="165">
        <v>463</v>
      </c>
      <c r="BN17" s="165">
        <v>20</v>
      </c>
      <c r="BO17" s="165">
        <f>SUM(BM17:BN17)</f>
        <v>483</v>
      </c>
      <c r="BP17" s="6">
        <f t="shared" si="4"/>
        <v>4630</v>
      </c>
      <c r="BQ17" s="6">
        <f t="shared" si="4"/>
        <v>393</v>
      </c>
      <c r="BR17" s="6">
        <f t="shared" si="4"/>
        <v>5023</v>
      </c>
      <c r="BS17" s="176" t="s">
        <v>269</v>
      </c>
      <c r="BT17" s="2"/>
      <c r="BU17" s="2"/>
    </row>
    <row r="18" spans="1:73" ht="35.1" customHeight="1" x14ac:dyDescent="0.25">
      <c r="A18" s="10" t="s">
        <v>140</v>
      </c>
      <c r="B18" s="9" t="s">
        <v>46</v>
      </c>
      <c r="C18" s="74" t="s">
        <v>139</v>
      </c>
      <c r="D18" s="71">
        <v>540</v>
      </c>
      <c r="E18" s="7">
        <v>0</v>
      </c>
      <c r="F18" s="6">
        <f t="shared" si="20"/>
        <v>540</v>
      </c>
      <c r="G18" s="6"/>
      <c r="H18" s="6"/>
      <c r="I18" s="6"/>
      <c r="J18" s="7">
        <f t="shared" si="21"/>
        <v>540</v>
      </c>
      <c r="K18" s="6">
        <f t="shared" si="21"/>
        <v>0</v>
      </c>
      <c r="L18" s="6">
        <f t="shared" si="21"/>
        <v>540</v>
      </c>
      <c r="M18" s="73"/>
      <c r="N18" s="71">
        <v>550</v>
      </c>
      <c r="O18" s="7">
        <v>0</v>
      </c>
      <c r="P18" s="6">
        <f>SUM(N18:O18)</f>
        <v>550</v>
      </c>
      <c r="Q18" s="6"/>
      <c r="R18" s="6"/>
      <c r="S18" s="6"/>
      <c r="T18" s="7">
        <f t="shared" ref="T18:V24" si="24">N18-Q18</f>
        <v>550</v>
      </c>
      <c r="U18" s="6">
        <f t="shared" si="24"/>
        <v>0</v>
      </c>
      <c r="V18" s="6">
        <f t="shared" si="24"/>
        <v>550</v>
      </c>
      <c r="W18" s="160"/>
      <c r="X18" s="8">
        <f t="shared" ref="X18:X23" si="25">T18</f>
        <v>550</v>
      </c>
      <c r="Y18" s="7">
        <f t="shared" ref="Y18:Y23" si="26">U18-W18</f>
        <v>0</v>
      </c>
      <c r="Z18" s="7">
        <f t="shared" ref="Z18:Z23" si="27">X18+Y18</f>
        <v>550</v>
      </c>
      <c r="AA18" s="7">
        <f t="shared" ref="AA18:AA23" si="28">L18-Z18</f>
        <v>-10</v>
      </c>
      <c r="AB18" s="73" t="s">
        <v>141</v>
      </c>
      <c r="AC18" s="8">
        <v>550</v>
      </c>
      <c r="AD18" s="7">
        <v>0</v>
      </c>
      <c r="AE18" s="6">
        <f>SUM(AC18:AD18)</f>
        <v>550</v>
      </c>
      <c r="AF18" s="161"/>
      <c r="AG18" s="22"/>
      <c r="AH18" s="6"/>
      <c r="AI18" s="6"/>
      <c r="AJ18" s="7">
        <f>AC18-AG18</f>
        <v>550</v>
      </c>
      <c r="AK18" s="6">
        <f>AD18-AH18</f>
        <v>0</v>
      </c>
      <c r="AL18" s="6">
        <f>AE18-AI18</f>
        <v>550</v>
      </c>
      <c r="AM18" s="6">
        <f t="shared" ref="AM18:AM24" si="29">V18-AL18</f>
        <v>0</v>
      </c>
      <c r="AN18" s="73" t="s">
        <v>141</v>
      </c>
      <c r="AO18" s="8">
        <v>550</v>
      </c>
      <c r="AP18" s="7">
        <v>0</v>
      </c>
      <c r="AQ18" s="7">
        <f>SUM(AO18:AP18)</f>
        <v>550</v>
      </c>
      <c r="AR18" s="6"/>
      <c r="AS18" s="6"/>
      <c r="AT18" s="6"/>
      <c r="AU18" s="71">
        <f t="shared" ref="AU18:AW24" si="30">AO18-AR18</f>
        <v>550</v>
      </c>
      <c r="AV18" s="6">
        <f t="shared" si="30"/>
        <v>0</v>
      </c>
      <c r="AW18" s="6">
        <f t="shared" si="30"/>
        <v>550</v>
      </c>
      <c r="AX18" s="6">
        <f t="shared" si="22"/>
        <v>0</v>
      </c>
      <c r="AY18" s="73"/>
      <c r="AZ18" s="8">
        <f>745-195</f>
        <v>550</v>
      </c>
      <c r="BA18" s="7">
        <v>0</v>
      </c>
      <c r="BB18" s="7">
        <f>SUM(AZ18:BA18)</f>
        <v>550</v>
      </c>
      <c r="BC18" s="6"/>
      <c r="BD18" s="6"/>
      <c r="BE18" s="6"/>
      <c r="BF18" s="7">
        <f t="shared" si="18"/>
        <v>550</v>
      </c>
      <c r="BG18" s="6">
        <f t="shared" si="18"/>
        <v>0</v>
      </c>
      <c r="BH18" s="6">
        <f t="shared" si="18"/>
        <v>550</v>
      </c>
      <c r="BI18" s="162"/>
      <c r="BJ18" s="163">
        <f>745-195</f>
        <v>550</v>
      </c>
      <c r="BK18" s="164">
        <v>0</v>
      </c>
      <c r="BL18" s="164">
        <f>SUM(BJ18:BK18)</f>
        <v>550</v>
      </c>
      <c r="BM18" s="165"/>
      <c r="BN18" s="165"/>
      <c r="BO18" s="165"/>
      <c r="BP18" s="6">
        <f t="shared" si="4"/>
        <v>550</v>
      </c>
      <c r="BQ18" s="6">
        <f t="shared" si="4"/>
        <v>0</v>
      </c>
      <c r="BR18" s="6">
        <f t="shared" si="4"/>
        <v>550</v>
      </c>
      <c r="BS18" s="166"/>
      <c r="BT18" s="2"/>
      <c r="BU18" s="2"/>
    </row>
    <row r="19" spans="1:73" ht="35.1" customHeight="1" x14ac:dyDescent="0.25">
      <c r="A19" s="11">
        <v>303</v>
      </c>
      <c r="B19" s="9" t="s">
        <v>81</v>
      </c>
      <c r="C19" s="70" t="s">
        <v>82</v>
      </c>
      <c r="D19" s="71">
        <v>580</v>
      </c>
      <c r="E19" s="7">
        <v>248</v>
      </c>
      <c r="F19" s="7">
        <f t="shared" si="20"/>
        <v>828</v>
      </c>
      <c r="G19" s="6"/>
      <c r="H19" s="6"/>
      <c r="I19" s="6"/>
      <c r="J19" s="7">
        <f t="shared" si="21"/>
        <v>580</v>
      </c>
      <c r="K19" s="6">
        <f t="shared" si="21"/>
        <v>248</v>
      </c>
      <c r="L19" s="6">
        <f t="shared" si="21"/>
        <v>828</v>
      </c>
      <c r="M19" s="72"/>
      <c r="N19" s="71">
        <v>580</v>
      </c>
      <c r="O19" s="7">
        <v>248</v>
      </c>
      <c r="P19" s="7">
        <f t="shared" ref="P19:P24" si="31">SUM(N19:O19)</f>
        <v>828</v>
      </c>
      <c r="Q19" s="6"/>
      <c r="R19" s="6"/>
      <c r="S19" s="6"/>
      <c r="T19" s="7">
        <f>N19-Q19</f>
        <v>580</v>
      </c>
      <c r="U19" s="6">
        <f t="shared" si="24"/>
        <v>248</v>
      </c>
      <c r="V19" s="6">
        <f t="shared" si="24"/>
        <v>828</v>
      </c>
      <c r="W19" s="160"/>
      <c r="X19" s="8">
        <f t="shared" si="25"/>
        <v>580</v>
      </c>
      <c r="Y19" s="7">
        <f t="shared" si="26"/>
        <v>248</v>
      </c>
      <c r="Z19" s="7">
        <f t="shared" si="27"/>
        <v>828</v>
      </c>
      <c r="AA19" s="7">
        <f t="shared" si="28"/>
        <v>0</v>
      </c>
      <c r="AB19" s="72"/>
      <c r="AC19" s="8">
        <v>580</v>
      </c>
      <c r="AD19" s="7">
        <v>248</v>
      </c>
      <c r="AE19" s="6">
        <f t="shared" ref="AE19:AE24" si="32">SUM(AC19:AD19)</f>
        <v>828</v>
      </c>
      <c r="AF19" s="161"/>
      <c r="AG19" s="22"/>
      <c r="AH19" s="6"/>
      <c r="AI19" s="6"/>
      <c r="AJ19" s="7">
        <f>AC19-AG19</f>
        <v>580</v>
      </c>
      <c r="AK19" s="6">
        <f>AD19-AH19-AF19</f>
        <v>248</v>
      </c>
      <c r="AL19" s="6">
        <f>AE19-AI19-AF19</f>
        <v>828</v>
      </c>
      <c r="AM19" s="6">
        <f t="shared" si="29"/>
        <v>0</v>
      </c>
      <c r="AN19" s="72"/>
      <c r="AO19" s="8">
        <v>580</v>
      </c>
      <c r="AP19" s="7">
        <v>248</v>
      </c>
      <c r="AQ19" s="7">
        <f t="shared" ref="AQ19:AQ24" si="33">SUM(AO19:AP19)</f>
        <v>828</v>
      </c>
      <c r="AR19" s="6"/>
      <c r="AS19" s="6"/>
      <c r="AT19" s="6"/>
      <c r="AU19" s="71">
        <f t="shared" si="30"/>
        <v>580</v>
      </c>
      <c r="AV19" s="6">
        <f t="shared" si="30"/>
        <v>248</v>
      </c>
      <c r="AW19" s="6">
        <f t="shared" si="30"/>
        <v>828</v>
      </c>
      <c r="AX19" s="17">
        <f t="shared" si="22"/>
        <v>0</v>
      </c>
      <c r="AY19" s="73"/>
      <c r="AZ19" s="8">
        <v>580</v>
      </c>
      <c r="BA19" s="7">
        <v>248</v>
      </c>
      <c r="BB19" s="7">
        <f t="shared" si="23"/>
        <v>828</v>
      </c>
      <c r="BC19" s="6"/>
      <c r="BD19" s="6"/>
      <c r="BE19" s="6"/>
      <c r="BF19" s="7">
        <f t="shared" si="18"/>
        <v>580</v>
      </c>
      <c r="BG19" s="6">
        <f t="shared" si="18"/>
        <v>248</v>
      </c>
      <c r="BH19" s="6">
        <f t="shared" si="18"/>
        <v>828</v>
      </c>
      <c r="BI19" s="162"/>
      <c r="BJ19" s="163">
        <v>580</v>
      </c>
      <c r="BK19" s="164">
        <v>248</v>
      </c>
      <c r="BL19" s="164">
        <f>SUM(BJ19:BK19)</f>
        <v>828</v>
      </c>
      <c r="BM19" s="165"/>
      <c r="BN19" s="165"/>
      <c r="BO19" s="165"/>
      <c r="BP19" s="6">
        <f t="shared" si="4"/>
        <v>580</v>
      </c>
      <c r="BQ19" s="6">
        <f t="shared" si="4"/>
        <v>248</v>
      </c>
      <c r="BR19" s="6">
        <f t="shared" si="4"/>
        <v>828</v>
      </c>
      <c r="BS19" s="166"/>
      <c r="BT19" s="2"/>
      <c r="BU19" s="2"/>
    </row>
    <row r="20" spans="1:73" ht="35.1" customHeight="1" x14ac:dyDescent="0.25">
      <c r="A20" s="11">
        <v>301</v>
      </c>
      <c r="B20" s="9" t="s">
        <v>142</v>
      </c>
      <c r="C20" s="70" t="s">
        <v>143</v>
      </c>
      <c r="D20" s="71">
        <v>994</v>
      </c>
      <c r="E20" s="7">
        <v>0</v>
      </c>
      <c r="F20" s="7">
        <f t="shared" si="20"/>
        <v>994</v>
      </c>
      <c r="G20" s="6"/>
      <c r="H20" s="6"/>
      <c r="I20" s="6"/>
      <c r="J20" s="7">
        <f t="shared" si="21"/>
        <v>994</v>
      </c>
      <c r="K20" s="6">
        <f t="shared" si="21"/>
        <v>0</v>
      </c>
      <c r="L20" s="6">
        <f t="shared" si="21"/>
        <v>994</v>
      </c>
      <c r="M20" s="72"/>
      <c r="N20" s="71">
        <v>994</v>
      </c>
      <c r="O20" s="7"/>
      <c r="P20" s="7">
        <f t="shared" si="31"/>
        <v>994</v>
      </c>
      <c r="Q20" s="6"/>
      <c r="R20" s="6"/>
      <c r="S20" s="6"/>
      <c r="T20" s="7">
        <f t="shared" ref="T20:T24" si="34">N20-Q20</f>
        <v>994</v>
      </c>
      <c r="U20" s="6">
        <f t="shared" si="24"/>
        <v>0</v>
      </c>
      <c r="V20" s="6">
        <f t="shared" si="24"/>
        <v>994</v>
      </c>
      <c r="W20" s="160"/>
      <c r="X20" s="8">
        <f t="shared" si="25"/>
        <v>994</v>
      </c>
      <c r="Y20" s="7">
        <f t="shared" si="26"/>
        <v>0</v>
      </c>
      <c r="Z20" s="7">
        <f t="shared" si="27"/>
        <v>994</v>
      </c>
      <c r="AA20" s="7">
        <f t="shared" si="28"/>
        <v>0</v>
      </c>
      <c r="AB20" s="96"/>
      <c r="AC20" s="8">
        <v>994</v>
      </c>
      <c r="AD20" s="7"/>
      <c r="AE20" s="6">
        <f t="shared" si="32"/>
        <v>994</v>
      </c>
      <c r="AF20" s="161"/>
      <c r="AG20" s="22"/>
      <c r="AH20" s="6"/>
      <c r="AI20" s="6"/>
      <c r="AJ20" s="7">
        <f t="shared" ref="AJ20:AL24" si="35">AC20-AG20</f>
        <v>994</v>
      </c>
      <c r="AK20" s="6">
        <f t="shared" si="35"/>
        <v>0</v>
      </c>
      <c r="AL20" s="7">
        <f t="shared" si="35"/>
        <v>994</v>
      </c>
      <c r="AM20" s="6">
        <f t="shared" si="29"/>
        <v>0</v>
      </c>
      <c r="AN20" s="72"/>
      <c r="AO20" s="8">
        <v>994</v>
      </c>
      <c r="AP20" s="7"/>
      <c r="AQ20" s="7">
        <f t="shared" si="33"/>
        <v>994</v>
      </c>
      <c r="AR20" s="6"/>
      <c r="AS20" s="6"/>
      <c r="AT20" s="6"/>
      <c r="AU20" s="71">
        <f t="shared" si="30"/>
        <v>994</v>
      </c>
      <c r="AV20" s="6">
        <f t="shared" si="30"/>
        <v>0</v>
      </c>
      <c r="AW20" s="6">
        <f t="shared" si="30"/>
        <v>994</v>
      </c>
      <c r="AX20" s="17">
        <f t="shared" si="22"/>
        <v>0</v>
      </c>
      <c r="AY20" s="73"/>
      <c r="AZ20" s="8">
        <v>994</v>
      </c>
      <c r="BA20" s="7"/>
      <c r="BB20" s="7">
        <f t="shared" si="23"/>
        <v>994</v>
      </c>
      <c r="BC20" s="6"/>
      <c r="BD20" s="6"/>
      <c r="BE20" s="6"/>
      <c r="BF20" s="7">
        <f t="shared" si="18"/>
        <v>994</v>
      </c>
      <c r="BG20" s="6">
        <f t="shared" si="18"/>
        <v>0</v>
      </c>
      <c r="BH20" s="6">
        <f t="shared" si="18"/>
        <v>994</v>
      </c>
      <c r="BI20" s="162"/>
      <c r="BJ20" s="163">
        <v>994</v>
      </c>
      <c r="BK20" s="164"/>
      <c r="BL20" s="164">
        <f>SUM(BJ20:BK20)</f>
        <v>994</v>
      </c>
      <c r="BM20" s="165"/>
      <c r="BN20" s="165"/>
      <c r="BO20" s="165"/>
      <c r="BP20" s="6">
        <f t="shared" si="4"/>
        <v>994</v>
      </c>
      <c r="BQ20" s="6">
        <f t="shared" si="4"/>
        <v>0</v>
      </c>
      <c r="BR20" s="6">
        <f t="shared" si="4"/>
        <v>994</v>
      </c>
      <c r="BS20" s="166"/>
      <c r="BT20" s="2"/>
      <c r="BU20" s="2"/>
    </row>
    <row r="21" spans="1:73" ht="35.1" customHeight="1" x14ac:dyDescent="0.25">
      <c r="A21" s="11">
        <v>501</v>
      </c>
      <c r="B21" s="9" t="s">
        <v>144</v>
      </c>
      <c r="C21" s="70" t="s">
        <v>145</v>
      </c>
      <c r="D21" s="71">
        <v>414</v>
      </c>
      <c r="E21" s="7">
        <v>0</v>
      </c>
      <c r="F21" s="7">
        <f t="shared" si="20"/>
        <v>414</v>
      </c>
      <c r="G21" s="6"/>
      <c r="H21" s="6"/>
      <c r="I21" s="6"/>
      <c r="J21" s="7">
        <f t="shared" si="21"/>
        <v>414</v>
      </c>
      <c r="K21" s="6">
        <f t="shared" si="21"/>
        <v>0</v>
      </c>
      <c r="L21" s="7">
        <f t="shared" si="21"/>
        <v>414</v>
      </c>
      <c r="M21" s="96"/>
      <c r="N21" s="71">
        <v>414</v>
      </c>
      <c r="O21" s="7"/>
      <c r="P21" s="7">
        <f t="shared" si="31"/>
        <v>414</v>
      </c>
      <c r="Q21" s="6"/>
      <c r="R21" s="6"/>
      <c r="S21" s="6"/>
      <c r="T21" s="7">
        <f t="shared" si="34"/>
        <v>414</v>
      </c>
      <c r="U21" s="6">
        <f t="shared" si="24"/>
        <v>0</v>
      </c>
      <c r="V21" s="6">
        <f t="shared" si="24"/>
        <v>414</v>
      </c>
      <c r="W21" s="160"/>
      <c r="X21" s="8">
        <f t="shared" si="25"/>
        <v>414</v>
      </c>
      <c r="Y21" s="7">
        <f t="shared" si="26"/>
        <v>0</v>
      </c>
      <c r="Z21" s="7">
        <f t="shared" si="27"/>
        <v>414</v>
      </c>
      <c r="AA21" s="7">
        <f t="shared" si="28"/>
        <v>0</v>
      </c>
      <c r="AB21" s="96"/>
      <c r="AC21" s="8">
        <v>414</v>
      </c>
      <c r="AD21" s="7"/>
      <c r="AE21" s="6">
        <f t="shared" si="32"/>
        <v>414</v>
      </c>
      <c r="AF21" s="161"/>
      <c r="AG21" s="22"/>
      <c r="AH21" s="6"/>
      <c r="AI21" s="6"/>
      <c r="AJ21" s="7">
        <f t="shared" si="35"/>
        <v>414</v>
      </c>
      <c r="AK21" s="6">
        <f t="shared" si="35"/>
        <v>0</v>
      </c>
      <c r="AL21" s="7">
        <f t="shared" si="35"/>
        <v>414</v>
      </c>
      <c r="AM21" s="6">
        <f t="shared" si="29"/>
        <v>0</v>
      </c>
      <c r="AN21" s="72"/>
      <c r="AO21" s="8">
        <v>414</v>
      </c>
      <c r="AP21" s="7"/>
      <c r="AQ21" s="7">
        <f t="shared" si="33"/>
        <v>414</v>
      </c>
      <c r="AR21" s="6"/>
      <c r="AS21" s="6"/>
      <c r="AT21" s="6"/>
      <c r="AU21" s="71">
        <f t="shared" si="30"/>
        <v>414</v>
      </c>
      <c r="AV21" s="6">
        <f t="shared" si="30"/>
        <v>0</v>
      </c>
      <c r="AW21" s="6">
        <f t="shared" si="30"/>
        <v>414</v>
      </c>
      <c r="AX21" s="17">
        <f t="shared" si="22"/>
        <v>0</v>
      </c>
      <c r="AY21" s="73"/>
      <c r="AZ21" s="8">
        <v>414</v>
      </c>
      <c r="BA21" s="7"/>
      <c r="BB21" s="7">
        <f t="shared" si="23"/>
        <v>414</v>
      </c>
      <c r="BC21" s="6"/>
      <c r="BD21" s="6"/>
      <c r="BE21" s="6"/>
      <c r="BF21" s="7">
        <f t="shared" si="18"/>
        <v>414</v>
      </c>
      <c r="BG21" s="6">
        <f t="shared" si="18"/>
        <v>0</v>
      </c>
      <c r="BH21" s="6">
        <f t="shared" si="18"/>
        <v>414</v>
      </c>
      <c r="BI21" s="162"/>
      <c r="BJ21" s="163">
        <v>414</v>
      </c>
      <c r="BK21" s="164"/>
      <c r="BL21" s="164">
        <f>SUM(BJ21:BK21)</f>
        <v>414</v>
      </c>
      <c r="BM21" s="165"/>
      <c r="BN21" s="165"/>
      <c r="BO21" s="165"/>
      <c r="BP21" s="6">
        <f t="shared" si="4"/>
        <v>414</v>
      </c>
      <c r="BQ21" s="6">
        <f t="shared" si="4"/>
        <v>0</v>
      </c>
      <c r="BR21" s="6">
        <f t="shared" si="4"/>
        <v>414</v>
      </c>
      <c r="BS21" s="166"/>
      <c r="BT21" s="2"/>
      <c r="BU21" s="2"/>
    </row>
    <row r="22" spans="1:73" s="18" customFormat="1" ht="35.1" customHeight="1" x14ac:dyDescent="0.25">
      <c r="A22" s="10" t="s">
        <v>146</v>
      </c>
      <c r="B22" s="9" t="s">
        <v>147</v>
      </c>
      <c r="C22" s="86" t="s">
        <v>139</v>
      </c>
      <c r="D22" s="71">
        <v>3000</v>
      </c>
      <c r="E22" s="7">
        <v>0</v>
      </c>
      <c r="F22" s="19">
        <f t="shared" si="20"/>
        <v>3000</v>
      </c>
      <c r="G22" s="17"/>
      <c r="H22" s="17"/>
      <c r="I22" s="17"/>
      <c r="J22" s="19">
        <f t="shared" si="21"/>
        <v>3000</v>
      </c>
      <c r="K22" s="17">
        <f t="shared" si="21"/>
        <v>0</v>
      </c>
      <c r="L22" s="19">
        <f t="shared" si="21"/>
        <v>3000</v>
      </c>
      <c r="M22" s="104"/>
      <c r="N22" s="87">
        <v>3000</v>
      </c>
      <c r="O22" s="19">
        <v>0</v>
      </c>
      <c r="P22" s="19">
        <f t="shared" si="31"/>
        <v>3000</v>
      </c>
      <c r="Q22" s="17"/>
      <c r="R22" s="17"/>
      <c r="S22" s="17"/>
      <c r="T22" s="19">
        <f t="shared" si="34"/>
        <v>3000</v>
      </c>
      <c r="U22" s="17">
        <f t="shared" si="24"/>
        <v>0</v>
      </c>
      <c r="V22" s="17">
        <f t="shared" si="24"/>
        <v>3000</v>
      </c>
      <c r="W22" s="177"/>
      <c r="X22" s="8">
        <f t="shared" si="25"/>
        <v>3000</v>
      </c>
      <c r="Y22" s="7">
        <f t="shared" si="26"/>
        <v>0</v>
      </c>
      <c r="Z22" s="7">
        <f t="shared" si="27"/>
        <v>3000</v>
      </c>
      <c r="AA22" s="7">
        <f t="shared" si="28"/>
        <v>0</v>
      </c>
      <c r="AB22" s="104"/>
      <c r="AC22" s="20">
        <v>3000</v>
      </c>
      <c r="AD22" s="19">
        <v>0</v>
      </c>
      <c r="AE22" s="17">
        <f t="shared" si="32"/>
        <v>3000</v>
      </c>
      <c r="AF22" s="161"/>
      <c r="AG22" s="21"/>
      <c r="AH22" s="17"/>
      <c r="AI22" s="17"/>
      <c r="AJ22" s="19">
        <f t="shared" si="35"/>
        <v>3000</v>
      </c>
      <c r="AK22" s="17">
        <f t="shared" si="35"/>
        <v>0</v>
      </c>
      <c r="AL22" s="19">
        <f t="shared" si="35"/>
        <v>3000</v>
      </c>
      <c r="AM22" s="6">
        <f t="shared" si="29"/>
        <v>0</v>
      </c>
      <c r="AN22" s="178"/>
      <c r="AO22" s="20">
        <f>2868+132</f>
        <v>3000</v>
      </c>
      <c r="AP22" s="19">
        <v>0</v>
      </c>
      <c r="AQ22" s="19">
        <f t="shared" si="33"/>
        <v>3000</v>
      </c>
      <c r="AR22" s="17"/>
      <c r="AS22" s="17"/>
      <c r="AT22" s="17"/>
      <c r="AU22" s="87">
        <f t="shared" si="30"/>
        <v>3000</v>
      </c>
      <c r="AV22" s="17">
        <f t="shared" si="30"/>
        <v>0</v>
      </c>
      <c r="AW22" s="17">
        <f t="shared" si="30"/>
        <v>3000</v>
      </c>
      <c r="AX22" s="17">
        <f t="shared" si="22"/>
        <v>0</v>
      </c>
      <c r="AY22" s="78" t="s">
        <v>270</v>
      </c>
      <c r="AZ22" s="20">
        <v>2868</v>
      </c>
      <c r="BA22" s="19"/>
      <c r="BB22" s="19">
        <f t="shared" si="23"/>
        <v>2868</v>
      </c>
      <c r="BC22" s="17"/>
      <c r="BD22" s="17"/>
      <c r="BE22" s="17"/>
      <c r="BF22" s="19">
        <f t="shared" si="18"/>
        <v>2868</v>
      </c>
      <c r="BG22" s="17">
        <f t="shared" si="18"/>
        <v>0</v>
      </c>
      <c r="BH22" s="17">
        <f t="shared" si="18"/>
        <v>2868</v>
      </c>
      <c r="BI22" s="179" t="s">
        <v>271</v>
      </c>
      <c r="BJ22" s="180"/>
      <c r="BK22" s="181"/>
      <c r="BL22" s="181"/>
      <c r="BM22" s="182"/>
      <c r="BN22" s="182"/>
      <c r="BO22" s="182"/>
      <c r="BP22" s="17"/>
      <c r="BQ22" s="17"/>
      <c r="BR22" s="17"/>
      <c r="BS22" s="183"/>
      <c r="BT22" s="2"/>
      <c r="BU22" s="2"/>
    </row>
    <row r="23" spans="1:73" ht="201.75" customHeight="1" x14ac:dyDescent="0.25">
      <c r="A23" s="105" t="s">
        <v>135</v>
      </c>
      <c r="B23" s="9" t="s">
        <v>149</v>
      </c>
      <c r="C23" s="74" t="s">
        <v>139</v>
      </c>
      <c r="D23" s="71">
        <v>10440</v>
      </c>
      <c r="E23" s="8">
        <v>2360</v>
      </c>
      <c r="F23" s="7">
        <f t="shared" si="20"/>
        <v>12800</v>
      </c>
      <c r="G23" s="6"/>
      <c r="H23" s="6"/>
      <c r="I23" s="6"/>
      <c r="J23" s="7">
        <f t="shared" si="21"/>
        <v>10440</v>
      </c>
      <c r="K23" s="7">
        <f t="shared" si="21"/>
        <v>2360</v>
      </c>
      <c r="L23" s="6">
        <f t="shared" si="21"/>
        <v>12800</v>
      </c>
      <c r="M23" s="73" t="s">
        <v>404</v>
      </c>
      <c r="N23" s="71">
        <v>12800</v>
      </c>
      <c r="O23" s="8"/>
      <c r="P23" s="7">
        <f>SUM(N23:O23)</f>
        <v>12800</v>
      </c>
      <c r="Q23" s="6"/>
      <c r="R23" s="6"/>
      <c r="S23" s="6"/>
      <c r="T23" s="7">
        <f>N23-Q23</f>
        <v>12800</v>
      </c>
      <c r="U23" s="6"/>
      <c r="V23" s="6">
        <f>P23-S23</f>
        <v>12800</v>
      </c>
      <c r="W23" s="160"/>
      <c r="X23" s="8">
        <f t="shared" si="25"/>
        <v>12800</v>
      </c>
      <c r="Y23" s="7">
        <f t="shared" si="26"/>
        <v>0</v>
      </c>
      <c r="Z23" s="7">
        <f t="shared" si="27"/>
        <v>12800</v>
      </c>
      <c r="AA23" s="7">
        <f t="shared" si="28"/>
        <v>0</v>
      </c>
      <c r="AB23" s="73" t="s">
        <v>150</v>
      </c>
      <c r="AC23" s="8"/>
      <c r="AD23" s="8"/>
      <c r="AE23" s="6"/>
      <c r="AF23" s="161"/>
      <c r="AG23" s="22"/>
      <c r="AH23" s="6"/>
      <c r="AI23" s="6"/>
      <c r="AJ23" s="7"/>
      <c r="AK23" s="6"/>
      <c r="AL23" s="6"/>
      <c r="AM23" s="6">
        <f t="shared" si="29"/>
        <v>12800</v>
      </c>
      <c r="AN23" s="73"/>
      <c r="AO23" s="8"/>
      <c r="AP23" s="8"/>
      <c r="AQ23" s="7"/>
      <c r="AR23" s="6"/>
      <c r="AS23" s="6"/>
      <c r="AT23" s="6"/>
      <c r="AU23" s="71"/>
      <c r="AV23" s="6"/>
      <c r="AW23" s="6"/>
      <c r="AX23" s="6"/>
      <c r="AY23" s="73"/>
      <c r="AZ23" s="8"/>
      <c r="BA23" s="8"/>
      <c r="BB23" s="8"/>
      <c r="BC23" s="22"/>
      <c r="BD23" s="6"/>
      <c r="BE23" s="7"/>
      <c r="BF23" s="7"/>
      <c r="BG23" s="6"/>
      <c r="BH23" s="6"/>
      <c r="BI23" s="162"/>
      <c r="BJ23" s="163"/>
      <c r="BK23" s="164"/>
      <c r="BL23" s="164"/>
      <c r="BM23" s="165"/>
      <c r="BN23" s="165"/>
      <c r="BO23" s="165"/>
      <c r="BP23" s="6"/>
      <c r="BQ23" s="6"/>
      <c r="BR23" s="6"/>
      <c r="BS23" s="166"/>
      <c r="BT23" s="2"/>
      <c r="BU23" s="2"/>
    </row>
    <row r="24" spans="1:73" s="18" customFormat="1" ht="51" hidden="1" x14ac:dyDescent="0.25">
      <c r="A24" s="77"/>
      <c r="B24" s="85" t="s">
        <v>83</v>
      </c>
      <c r="C24" s="86" t="s">
        <v>151</v>
      </c>
      <c r="D24" s="87">
        <v>0</v>
      </c>
      <c r="E24" s="20"/>
      <c r="F24" s="19">
        <f t="shared" si="20"/>
        <v>0</v>
      </c>
      <c r="G24" s="19"/>
      <c r="H24" s="19"/>
      <c r="I24" s="19"/>
      <c r="J24" s="7">
        <f>D24-G24</f>
        <v>0</v>
      </c>
      <c r="K24" s="17">
        <f>E24-H24</f>
        <v>0</v>
      </c>
      <c r="L24" s="17">
        <f>F24-I24</f>
        <v>0</v>
      </c>
      <c r="M24" s="104"/>
      <c r="N24" s="87">
        <v>0</v>
      </c>
      <c r="O24" s="20"/>
      <c r="P24" s="19">
        <f t="shared" si="31"/>
        <v>0</v>
      </c>
      <c r="Q24" s="19"/>
      <c r="R24" s="19"/>
      <c r="S24" s="19"/>
      <c r="T24" s="19">
        <f t="shared" si="34"/>
        <v>0</v>
      </c>
      <c r="U24" s="17">
        <f t="shared" si="24"/>
        <v>0</v>
      </c>
      <c r="V24" s="17">
        <f t="shared" si="24"/>
        <v>0</v>
      </c>
      <c r="W24" s="177"/>
      <c r="X24" s="20"/>
      <c r="Y24" s="19"/>
      <c r="Z24" s="19"/>
      <c r="AA24" s="21"/>
      <c r="AB24" s="104"/>
      <c r="AC24" s="20">
        <v>0</v>
      </c>
      <c r="AD24" s="20"/>
      <c r="AE24" s="17">
        <f t="shared" si="32"/>
        <v>0</v>
      </c>
      <c r="AF24" s="161"/>
      <c r="AG24" s="20"/>
      <c r="AH24" s="19"/>
      <c r="AI24" s="19"/>
      <c r="AJ24" s="19">
        <f t="shared" si="35"/>
        <v>0</v>
      </c>
      <c r="AK24" s="17">
        <f t="shared" si="35"/>
        <v>0</v>
      </c>
      <c r="AL24" s="19">
        <f t="shared" si="35"/>
        <v>0</v>
      </c>
      <c r="AM24" s="6">
        <f t="shared" si="29"/>
        <v>0</v>
      </c>
      <c r="AN24" s="178"/>
      <c r="AO24" s="20">
        <v>0</v>
      </c>
      <c r="AP24" s="20">
        <v>12000</v>
      </c>
      <c r="AQ24" s="19">
        <f t="shared" si="33"/>
        <v>12000</v>
      </c>
      <c r="AR24" s="19"/>
      <c r="AS24" s="19"/>
      <c r="AT24" s="17"/>
      <c r="AU24" s="87">
        <f t="shared" si="30"/>
        <v>0</v>
      </c>
      <c r="AV24" s="17">
        <f t="shared" si="30"/>
        <v>12000</v>
      </c>
      <c r="AW24" s="17">
        <f t="shared" si="30"/>
        <v>12000</v>
      </c>
      <c r="AX24" s="17">
        <f t="shared" si="22"/>
        <v>-12000</v>
      </c>
      <c r="AY24" s="78" t="s">
        <v>264</v>
      </c>
      <c r="AZ24" s="20"/>
      <c r="BA24" s="20"/>
      <c r="BB24" s="20"/>
      <c r="BC24" s="21"/>
      <c r="BD24" s="17"/>
      <c r="BE24" s="19"/>
      <c r="BF24" s="19">
        <v>0</v>
      </c>
      <c r="BG24" s="17">
        <v>0</v>
      </c>
      <c r="BH24" s="17">
        <v>0</v>
      </c>
      <c r="BI24" s="179"/>
      <c r="BJ24" s="180"/>
      <c r="BK24" s="181"/>
      <c r="BL24" s="181"/>
      <c r="BM24" s="182"/>
      <c r="BN24" s="182"/>
      <c r="BO24" s="182"/>
      <c r="BP24" s="17"/>
      <c r="BQ24" s="17"/>
      <c r="BR24" s="17"/>
      <c r="BS24" s="183"/>
      <c r="BT24" s="2"/>
      <c r="BU24" s="2"/>
    </row>
    <row r="25" spans="1:73" s="5" customFormat="1" ht="25.5" x14ac:dyDescent="0.25">
      <c r="A25" s="79"/>
      <c r="B25" s="80" t="s">
        <v>84</v>
      </c>
      <c r="C25" s="81"/>
      <c r="D25" s="82">
        <f t="shared" ref="D25:L25" si="36">SUM(D17:D24)</f>
        <v>23318</v>
      </c>
      <c r="E25" s="16">
        <f t="shared" si="36"/>
        <v>3370</v>
      </c>
      <c r="F25" s="15">
        <f t="shared" si="36"/>
        <v>26688</v>
      </c>
      <c r="G25" s="16">
        <f t="shared" si="36"/>
        <v>735</v>
      </c>
      <c r="H25" s="16">
        <f t="shared" si="36"/>
        <v>38.1</v>
      </c>
      <c r="I25" s="16">
        <f t="shared" si="36"/>
        <v>772.1</v>
      </c>
      <c r="J25" s="16">
        <f t="shared" si="36"/>
        <v>22583</v>
      </c>
      <c r="K25" s="16">
        <f t="shared" si="36"/>
        <v>3331.9</v>
      </c>
      <c r="L25" s="26">
        <f t="shared" si="36"/>
        <v>25914.9</v>
      </c>
      <c r="M25" s="83"/>
      <c r="N25" s="82">
        <f t="shared" ref="N25:W25" si="37">SUM(N17:N24)</f>
        <v>24583</v>
      </c>
      <c r="O25" s="16">
        <f t="shared" si="37"/>
        <v>932</v>
      </c>
      <c r="P25" s="15">
        <f t="shared" si="37"/>
        <v>25515</v>
      </c>
      <c r="Q25" s="16">
        <f t="shared" si="37"/>
        <v>624.5</v>
      </c>
      <c r="R25" s="16">
        <f t="shared" si="37"/>
        <v>34.200000000000003</v>
      </c>
      <c r="S25" s="16">
        <f t="shared" si="37"/>
        <v>658.7</v>
      </c>
      <c r="T25" s="16">
        <f t="shared" si="37"/>
        <v>23957.5</v>
      </c>
      <c r="U25" s="16">
        <f t="shared" si="37"/>
        <v>897.8</v>
      </c>
      <c r="V25" s="26">
        <f t="shared" si="37"/>
        <v>24856.3</v>
      </c>
      <c r="W25" s="167">
        <f t="shared" si="37"/>
        <v>26</v>
      </c>
      <c r="X25" s="16">
        <f>SUM(X17:X23)</f>
        <v>23957.5</v>
      </c>
      <c r="Y25" s="15">
        <f>SUM(Y17:Y23)</f>
        <v>871.8</v>
      </c>
      <c r="Z25" s="15">
        <f>SUM(Z17:Z23)</f>
        <v>24830.3</v>
      </c>
      <c r="AA25" s="26">
        <f>SUM(AA17:AA23)</f>
        <v>1084.5999999999995</v>
      </c>
      <c r="AB25" s="83"/>
      <c r="AC25" s="16">
        <f t="shared" ref="AC25:AM25" si="38">SUM(AC17:AC24)</f>
        <v>11790</v>
      </c>
      <c r="AD25" s="16">
        <f t="shared" si="38"/>
        <v>925</v>
      </c>
      <c r="AE25" s="14">
        <f t="shared" si="38"/>
        <v>12715</v>
      </c>
      <c r="AF25" s="168">
        <f t="shared" si="38"/>
        <v>53</v>
      </c>
      <c r="AG25" s="16">
        <f t="shared" si="38"/>
        <v>625</v>
      </c>
      <c r="AH25" s="16">
        <f t="shared" si="38"/>
        <v>31</v>
      </c>
      <c r="AI25" s="16">
        <f t="shared" si="38"/>
        <v>656</v>
      </c>
      <c r="AJ25" s="16">
        <f t="shared" si="38"/>
        <v>11165</v>
      </c>
      <c r="AK25" s="16">
        <f t="shared" si="38"/>
        <v>841</v>
      </c>
      <c r="AL25" s="16">
        <f t="shared" si="38"/>
        <v>12006</v>
      </c>
      <c r="AM25" s="26">
        <f t="shared" si="38"/>
        <v>12850.3</v>
      </c>
      <c r="AN25" s="83"/>
      <c r="AO25" s="16">
        <f t="shared" ref="AO25:AX25" si="39">SUM(AO17:AO24)</f>
        <v>11590</v>
      </c>
      <c r="AP25" s="16">
        <f t="shared" si="39"/>
        <v>12925</v>
      </c>
      <c r="AQ25" s="16">
        <f t="shared" si="39"/>
        <v>24515</v>
      </c>
      <c r="AR25" s="16">
        <f t="shared" si="39"/>
        <v>508</v>
      </c>
      <c r="AS25" s="16">
        <f t="shared" si="39"/>
        <v>30</v>
      </c>
      <c r="AT25" s="26">
        <f t="shared" si="39"/>
        <v>538</v>
      </c>
      <c r="AU25" s="82">
        <f t="shared" si="39"/>
        <v>11082</v>
      </c>
      <c r="AV25" s="16">
        <f t="shared" si="39"/>
        <v>12895</v>
      </c>
      <c r="AW25" s="16">
        <f t="shared" si="39"/>
        <v>23977</v>
      </c>
      <c r="AX25" s="16">
        <f t="shared" si="39"/>
        <v>-11971</v>
      </c>
      <c r="AY25" s="169"/>
      <c r="AZ25" s="16">
        <f t="shared" ref="AZ25:BE25" si="40">SUM(AZ17:AZ22)</f>
        <v>10036</v>
      </c>
      <c r="BA25" s="16">
        <f t="shared" si="40"/>
        <v>641</v>
      </c>
      <c r="BB25" s="16">
        <f t="shared" si="40"/>
        <v>10677</v>
      </c>
      <c r="BC25" s="16">
        <f t="shared" si="40"/>
        <v>463</v>
      </c>
      <c r="BD25" s="16">
        <f t="shared" si="40"/>
        <v>20</v>
      </c>
      <c r="BE25" s="16">
        <f t="shared" si="40"/>
        <v>483</v>
      </c>
      <c r="BF25" s="15">
        <f t="shared" si="18"/>
        <v>9573</v>
      </c>
      <c r="BG25" s="14">
        <f t="shared" si="18"/>
        <v>621</v>
      </c>
      <c r="BH25" s="14">
        <f>BB25-BE25</f>
        <v>10194</v>
      </c>
      <c r="BI25" s="170"/>
      <c r="BJ25" s="171">
        <f t="shared" ref="BJ25:BO25" si="41">SUM(BJ17:BJ21)</f>
        <v>6705</v>
      </c>
      <c r="BK25" s="172">
        <f t="shared" si="41"/>
        <v>621</v>
      </c>
      <c r="BL25" s="172">
        <f t="shared" si="41"/>
        <v>7326</v>
      </c>
      <c r="BM25" s="173">
        <f t="shared" si="41"/>
        <v>463</v>
      </c>
      <c r="BN25" s="173">
        <f t="shared" si="41"/>
        <v>20</v>
      </c>
      <c r="BO25" s="173">
        <f t="shared" si="41"/>
        <v>483</v>
      </c>
      <c r="BP25" s="14">
        <f t="shared" si="4"/>
        <v>7168</v>
      </c>
      <c r="BQ25" s="14">
        <f t="shared" si="4"/>
        <v>641</v>
      </c>
      <c r="BR25" s="14">
        <f t="shared" si="4"/>
        <v>7809</v>
      </c>
      <c r="BS25" s="174"/>
      <c r="BT25" s="2"/>
      <c r="BU25" s="2"/>
    </row>
    <row r="26" spans="1:73" ht="35.1" customHeight="1" x14ac:dyDescent="0.25">
      <c r="A26" s="11" t="s">
        <v>152</v>
      </c>
      <c r="B26" s="12" t="s">
        <v>2</v>
      </c>
      <c r="C26" s="70" t="s">
        <v>85</v>
      </c>
      <c r="D26" s="71">
        <v>6343</v>
      </c>
      <c r="E26" s="7">
        <v>912</v>
      </c>
      <c r="F26" s="7">
        <f>SUM(D26:E26)</f>
        <v>7255</v>
      </c>
      <c r="G26" s="6">
        <f>D26*10%</f>
        <v>634.30000000000007</v>
      </c>
      <c r="H26" s="6">
        <f>E26*5%</f>
        <v>45.6</v>
      </c>
      <c r="I26" s="6">
        <f>SUM(G26:H26)</f>
        <v>679.90000000000009</v>
      </c>
      <c r="J26" s="7">
        <f>D26-G26</f>
        <v>5708.7</v>
      </c>
      <c r="K26" s="17">
        <f>E26-H26</f>
        <v>866.4</v>
      </c>
      <c r="L26" s="6">
        <f>F26-I26</f>
        <v>6575.1</v>
      </c>
      <c r="M26" s="72"/>
      <c r="N26" s="71">
        <v>6343</v>
      </c>
      <c r="O26" s="7">
        <v>950</v>
      </c>
      <c r="P26" s="7">
        <f>SUM(N26:O26)</f>
        <v>7293</v>
      </c>
      <c r="Q26" s="6">
        <f>N26*10%</f>
        <v>634.30000000000007</v>
      </c>
      <c r="R26" s="6">
        <f>O26*5%</f>
        <v>47.5</v>
      </c>
      <c r="S26" s="6">
        <f>SUM(Q26:R26)</f>
        <v>681.80000000000007</v>
      </c>
      <c r="T26" s="7">
        <f>N26-Q26</f>
        <v>5708.7</v>
      </c>
      <c r="U26" s="17">
        <f>O26-R26-1</f>
        <v>901.5</v>
      </c>
      <c r="V26" s="6">
        <f>P26-S26</f>
        <v>6611.2</v>
      </c>
      <c r="W26" s="160">
        <v>36</v>
      </c>
      <c r="X26" s="8">
        <f>T26</f>
        <v>5708.7</v>
      </c>
      <c r="Y26" s="7">
        <f>U26-W26</f>
        <v>865.5</v>
      </c>
      <c r="Z26" s="7">
        <f>X26+Y26+1</f>
        <v>6575.2</v>
      </c>
      <c r="AA26" s="184">
        <f>L26-Z26</f>
        <v>-9.9999999999454303E-2</v>
      </c>
      <c r="AB26" s="72"/>
      <c r="AC26" s="8">
        <v>6343</v>
      </c>
      <c r="AD26" s="7">
        <v>950</v>
      </c>
      <c r="AE26" s="6">
        <f>SUM(AC26:AD26)</f>
        <v>7293</v>
      </c>
      <c r="AF26" s="161">
        <v>74</v>
      </c>
      <c r="AG26" s="22">
        <v>634</v>
      </c>
      <c r="AH26" s="6">
        <v>44</v>
      </c>
      <c r="AI26" s="6">
        <f>SUM(AG26:AH26)</f>
        <v>678</v>
      </c>
      <c r="AJ26" s="7">
        <f>AC26-AG26</f>
        <v>5709</v>
      </c>
      <c r="AK26" s="17">
        <f>AD26-AH26-AF26</f>
        <v>832</v>
      </c>
      <c r="AL26" s="7">
        <f>AE26-AI26-AF26</f>
        <v>6541</v>
      </c>
      <c r="AM26" s="6">
        <f>V26-AL26</f>
        <v>70.199999999999818</v>
      </c>
      <c r="AN26" s="72"/>
      <c r="AO26" s="8">
        <v>6343</v>
      </c>
      <c r="AP26" s="7">
        <v>950</v>
      </c>
      <c r="AQ26" s="7">
        <f>SUM(AO26:AP26)</f>
        <v>7293</v>
      </c>
      <c r="AR26" s="6">
        <f>AO26*10%</f>
        <v>634.30000000000007</v>
      </c>
      <c r="AS26" s="6">
        <f>AP26*5%</f>
        <v>47.5</v>
      </c>
      <c r="AT26" s="6">
        <f>SUM(AR26:AS26)</f>
        <v>681.80000000000007</v>
      </c>
      <c r="AU26" s="71">
        <f>AO26-AR26</f>
        <v>5708.7</v>
      </c>
      <c r="AV26" s="17">
        <f>AP26-AS26-1</f>
        <v>901.5</v>
      </c>
      <c r="AW26" s="6">
        <f>AQ26-AT26</f>
        <v>6611.2</v>
      </c>
      <c r="AX26" s="6">
        <f t="shared" ref="AX26:AX33" si="42">AL26-AW26</f>
        <v>-70.199999999999818</v>
      </c>
      <c r="AY26" s="73"/>
      <c r="AZ26" s="8">
        <v>6343</v>
      </c>
      <c r="BA26" s="7">
        <v>950</v>
      </c>
      <c r="BB26" s="7">
        <f t="shared" ref="BB26:BB31" si="43">SUM(AZ26:BA26)</f>
        <v>7293</v>
      </c>
      <c r="BC26" s="6">
        <v>634</v>
      </c>
      <c r="BD26" s="6">
        <v>48</v>
      </c>
      <c r="BE26" s="6">
        <f>SUM(BC26:BD26)</f>
        <v>682</v>
      </c>
      <c r="BF26" s="7">
        <f t="shared" si="18"/>
        <v>5709</v>
      </c>
      <c r="BG26" s="6">
        <f t="shared" si="18"/>
        <v>902</v>
      </c>
      <c r="BH26" s="6">
        <f t="shared" si="18"/>
        <v>6611</v>
      </c>
      <c r="BI26" s="162"/>
      <c r="BJ26" s="163">
        <v>6053</v>
      </c>
      <c r="BK26" s="164">
        <v>539</v>
      </c>
      <c r="BL26" s="164">
        <f>SUM(BJ26:BK26)</f>
        <v>6592</v>
      </c>
      <c r="BM26" s="165">
        <v>673</v>
      </c>
      <c r="BN26" s="165">
        <v>28</v>
      </c>
      <c r="BO26" s="165">
        <f>SUM(BM26:BN26)</f>
        <v>701</v>
      </c>
      <c r="BP26" s="6">
        <f t="shared" si="4"/>
        <v>6726</v>
      </c>
      <c r="BQ26" s="6">
        <f t="shared" si="4"/>
        <v>567</v>
      </c>
      <c r="BR26" s="6">
        <f t="shared" si="4"/>
        <v>7293</v>
      </c>
      <c r="BS26" s="166"/>
      <c r="BT26" s="2"/>
      <c r="BU26" s="2"/>
    </row>
    <row r="27" spans="1:73" ht="35.1" customHeight="1" x14ac:dyDescent="0.25">
      <c r="A27" s="11" t="s">
        <v>153</v>
      </c>
      <c r="B27" s="12" t="s">
        <v>154</v>
      </c>
      <c r="C27" s="70" t="s">
        <v>85</v>
      </c>
      <c r="D27" s="71">
        <v>1589</v>
      </c>
      <c r="E27" s="7"/>
      <c r="F27" s="7">
        <f t="shared" ref="F27:F33" si="44">SUM(D27:E27)</f>
        <v>1589</v>
      </c>
      <c r="G27" s="6"/>
      <c r="H27" s="6"/>
      <c r="I27" s="6"/>
      <c r="J27" s="7">
        <f t="shared" ref="J27:L33" si="45">D27-G27</f>
        <v>1589</v>
      </c>
      <c r="K27" s="6">
        <f t="shared" si="45"/>
        <v>0</v>
      </c>
      <c r="L27" s="6">
        <f t="shared" si="45"/>
        <v>1589</v>
      </c>
      <c r="M27" s="72"/>
      <c r="N27" s="71">
        <v>1589</v>
      </c>
      <c r="O27" s="7">
        <v>0</v>
      </c>
      <c r="P27" s="7">
        <f t="shared" ref="P27:P32" si="46">SUM(N27:O27)</f>
        <v>1589</v>
      </c>
      <c r="Q27" s="6"/>
      <c r="R27" s="6"/>
      <c r="S27" s="6"/>
      <c r="T27" s="7">
        <f t="shared" ref="T27:V33" si="47">N27-Q27</f>
        <v>1589</v>
      </c>
      <c r="U27" s="6">
        <f t="shared" si="47"/>
        <v>0</v>
      </c>
      <c r="V27" s="6">
        <f t="shared" si="47"/>
        <v>1589</v>
      </c>
      <c r="W27" s="160"/>
      <c r="X27" s="8">
        <f t="shared" ref="X27:X33" si="48">T27</f>
        <v>1589</v>
      </c>
      <c r="Y27" s="7">
        <f t="shared" ref="Y27:Y33" si="49">U27-W27</f>
        <v>0</v>
      </c>
      <c r="Z27" s="7">
        <f>X27+Y27</f>
        <v>1589</v>
      </c>
      <c r="AA27" s="22">
        <f>L27-Z27</f>
        <v>0</v>
      </c>
      <c r="AB27" s="72"/>
      <c r="AC27" s="8">
        <v>1589</v>
      </c>
      <c r="AD27" s="7">
        <v>0</v>
      </c>
      <c r="AE27" s="6">
        <f t="shared" ref="AE27:AE32" si="50">SUM(AC27:AD27)</f>
        <v>1589</v>
      </c>
      <c r="AF27" s="161"/>
      <c r="AG27" s="22"/>
      <c r="AH27" s="6"/>
      <c r="AI27" s="6"/>
      <c r="AJ27" s="7">
        <f t="shared" ref="AJ27:AL33" si="51">AC27-AG27</f>
        <v>1589</v>
      </c>
      <c r="AK27" s="6">
        <f t="shared" si="51"/>
        <v>0</v>
      </c>
      <c r="AL27" s="7">
        <f t="shared" si="51"/>
        <v>1589</v>
      </c>
      <c r="AM27" s="6">
        <f t="shared" ref="AM27:AM33" si="52">V27-AL27</f>
        <v>0</v>
      </c>
      <c r="AN27" s="72"/>
      <c r="AO27" s="8">
        <v>1589</v>
      </c>
      <c r="AP27" s="7">
        <v>0</v>
      </c>
      <c r="AQ27" s="7">
        <f t="shared" ref="AQ27:AQ33" si="53">SUM(AO27:AP27)</f>
        <v>1589</v>
      </c>
      <c r="AR27" s="6"/>
      <c r="AS27" s="6"/>
      <c r="AT27" s="6"/>
      <c r="AU27" s="71">
        <f t="shared" ref="AU27:AW33" si="54">AO27-AR27</f>
        <v>1589</v>
      </c>
      <c r="AV27" s="6">
        <f t="shared" si="54"/>
        <v>0</v>
      </c>
      <c r="AW27" s="6">
        <f t="shared" si="54"/>
        <v>1589</v>
      </c>
      <c r="AX27" s="6">
        <f t="shared" si="42"/>
        <v>0</v>
      </c>
      <c r="AY27" s="73"/>
      <c r="AZ27" s="8">
        <v>1589</v>
      </c>
      <c r="BA27" s="7">
        <v>0</v>
      </c>
      <c r="BB27" s="7">
        <f t="shared" si="43"/>
        <v>1589</v>
      </c>
      <c r="BC27" s="6"/>
      <c r="BD27" s="6"/>
      <c r="BE27" s="6"/>
      <c r="BF27" s="7">
        <f t="shared" si="18"/>
        <v>1589</v>
      </c>
      <c r="BG27" s="6">
        <f t="shared" si="18"/>
        <v>0</v>
      </c>
      <c r="BH27" s="6">
        <f t="shared" si="18"/>
        <v>1589</v>
      </c>
      <c r="BI27" s="162"/>
      <c r="BJ27" s="163">
        <v>1589</v>
      </c>
      <c r="BK27" s="164">
        <v>0</v>
      </c>
      <c r="BL27" s="164">
        <f t="shared" ref="BL27:BL31" si="55">SUM(BJ27:BK27)</f>
        <v>1589</v>
      </c>
      <c r="BM27" s="165"/>
      <c r="BN27" s="165"/>
      <c r="BO27" s="165"/>
      <c r="BP27" s="6">
        <f t="shared" si="4"/>
        <v>1589</v>
      </c>
      <c r="BQ27" s="6">
        <f t="shared" si="4"/>
        <v>0</v>
      </c>
      <c r="BR27" s="6">
        <f t="shared" si="4"/>
        <v>1589</v>
      </c>
      <c r="BS27" s="166"/>
      <c r="BT27" s="2"/>
      <c r="BU27" s="2"/>
    </row>
    <row r="28" spans="1:73" ht="35.1" customHeight="1" x14ac:dyDescent="0.25">
      <c r="A28" s="10" t="s">
        <v>155</v>
      </c>
      <c r="B28" s="9" t="s">
        <v>156</v>
      </c>
      <c r="C28" s="74" t="s">
        <v>85</v>
      </c>
      <c r="D28" s="71">
        <v>140000</v>
      </c>
      <c r="E28" s="7"/>
      <c r="F28" s="7">
        <f t="shared" si="44"/>
        <v>140000</v>
      </c>
      <c r="G28" s="6"/>
      <c r="H28" s="6"/>
      <c r="I28" s="6"/>
      <c r="J28" s="7">
        <f t="shared" si="45"/>
        <v>140000</v>
      </c>
      <c r="K28" s="6">
        <f t="shared" si="45"/>
        <v>0</v>
      </c>
      <c r="L28" s="6">
        <f t="shared" si="45"/>
        <v>140000</v>
      </c>
      <c r="M28" s="72"/>
      <c r="N28" s="71">
        <v>140000</v>
      </c>
      <c r="O28" s="7">
        <v>0</v>
      </c>
      <c r="P28" s="7">
        <f t="shared" si="46"/>
        <v>140000</v>
      </c>
      <c r="Q28" s="6"/>
      <c r="R28" s="6"/>
      <c r="S28" s="6"/>
      <c r="T28" s="7">
        <f t="shared" si="47"/>
        <v>140000</v>
      </c>
      <c r="U28" s="6">
        <f t="shared" si="47"/>
        <v>0</v>
      </c>
      <c r="V28" s="6">
        <f t="shared" si="47"/>
        <v>140000</v>
      </c>
      <c r="W28" s="160"/>
      <c r="X28" s="8">
        <f t="shared" si="48"/>
        <v>140000</v>
      </c>
      <c r="Y28" s="7">
        <f t="shared" si="49"/>
        <v>0</v>
      </c>
      <c r="Z28" s="7">
        <f t="shared" ref="Z28:Z33" si="56">X28+Y28</f>
        <v>140000</v>
      </c>
      <c r="AA28" s="22">
        <f t="shared" ref="AA28:AA33" si="57">L28-Z28</f>
        <v>0</v>
      </c>
      <c r="AB28" s="72"/>
      <c r="AC28" s="8">
        <v>140000</v>
      </c>
      <c r="AD28" s="7">
        <v>0</v>
      </c>
      <c r="AE28" s="6">
        <f t="shared" si="50"/>
        <v>140000</v>
      </c>
      <c r="AF28" s="161"/>
      <c r="AG28" s="22"/>
      <c r="AH28" s="6"/>
      <c r="AI28" s="6"/>
      <c r="AJ28" s="7">
        <f t="shared" si="51"/>
        <v>140000</v>
      </c>
      <c r="AK28" s="6">
        <f t="shared" si="51"/>
        <v>0</v>
      </c>
      <c r="AL28" s="7">
        <f t="shared" si="51"/>
        <v>140000</v>
      </c>
      <c r="AM28" s="6">
        <f t="shared" si="52"/>
        <v>0</v>
      </c>
      <c r="AN28" s="72"/>
      <c r="AO28" s="8">
        <v>140000</v>
      </c>
      <c r="AP28" s="7">
        <v>0</v>
      </c>
      <c r="AQ28" s="7">
        <f t="shared" si="53"/>
        <v>140000</v>
      </c>
      <c r="AR28" s="6"/>
      <c r="AS28" s="6"/>
      <c r="AT28" s="6"/>
      <c r="AU28" s="71">
        <f t="shared" si="54"/>
        <v>140000</v>
      </c>
      <c r="AV28" s="6">
        <f t="shared" si="54"/>
        <v>0</v>
      </c>
      <c r="AW28" s="6">
        <f t="shared" si="54"/>
        <v>140000</v>
      </c>
      <c r="AX28" s="6">
        <f t="shared" si="42"/>
        <v>0</v>
      </c>
      <c r="AY28" s="73"/>
      <c r="AZ28" s="8">
        <v>140000</v>
      </c>
      <c r="BA28" s="7">
        <v>0</v>
      </c>
      <c r="BB28" s="7">
        <f t="shared" si="43"/>
        <v>140000</v>
      </c>
      <c r="BC28" s="6"/>
      <c r="BD28" s="6"/>
      <c r="BE28" s="6"/>
      <c r="BF28" s="7">
        <f t="shared" si="18"/>
        <v>140000</v>
      </c>
      <c r="BG28" s="6">
        <f t="shared" si="18"/>
        <v>0</v>
      </c>
      <c r="BH28" s="6">
        <f t="shared" si="18"/>
        <v>140000</v>
      </c>
      <c r="BI28" s="162"/>
      <c r="BJ28" s="163">
        <v>140000</v>
      </c>
      <c r="BK28" s="164">
        <v>0</v>
      </c>
      <c r="BL28" s="164">
        <f t="shared" si="55"/>
        <v>140000</v>
      </c>
      <c r="BM28" s="165"/>
      <c r="BN28" s="165"/>
      <c r="BO28" s="165"/>
      <c r="BP28" s="6">
        <f t="shared" si="4"/>
        <v>140000</v>
      </c>
      <c r="BQ28" s="6">
        <f t="shared" si="4"/>
        <v>0</v>
      </c>
      <c r="BR28" s="6">
        <f t="shared" si="4"/>
        <v>140000</v>
      </c>
      <c r="BS28" s="166"/>
      <c r="BT28" s="2"/>
      <c r="BU28" s="2"/>
    </row>
    <row r="29" spans="1:73" ht="64.5" customHeight="1" x14ac:dyDescent="0.25">
      <c r="A29" s="10" t="s">
        <v>157</v>
      </c>
      <c r="B29" s="9" t="s">
        <v>158</v>
      </c>
      <c r="C29" s="89" t="s">
        <v>159</v>
      </c>
      <c r="D29" s="71">
        <v>300</v>
      </c>
      <c r="E29" s="7"/>
      <c r="F29" s="7">
        <f t="shared" si="44"/>
        <v>300</v>
      </c>
      <c r="G29" s="6"/>
      <c r="H29" s="6"/>
      <c r="I29" s="6"/>
      <c r="J29" s="7">
        <f t="shared" si="45"/>
        <v>300</v>
      </c>
      <c r="K29" s="6">
        <f t="shared" si="45"/>
        <v>0</v>
      </c>
      <c r="L29" s="7">
        <f t="shared" si="45"/>
        <v>300</v>
      </c>
      <c r="M29" s="96"/>
      <c r="N29" s="71">
        <v>300</v>
      </c>
      <c r="O29" s="7">
        <v>0</v>
      </c>
      <c r="P29" s="7">
        <f t="shared" si="46"/>
        <v>300</v>
      </c>
      <c r="Q29" s="6"/>
      <c r="R29" s="6"/>
      <c r="S29" s="6"/>
      <c r="T29" s="7">
        <f t="shared" si="47"/>
        <v>300</v>
      </c>
      <c r="U29" s="6">
        <f t="shared" si="47"/>
        <v>0</v>
      </c>
      <c r="V29" s="6">
        <f t="shared" si="47"/>
        <v>300</v>
      </c>
      <c r="W29" s="160"/>
      <c r="X29" s="8">
        <f t="shared" si="48"/>
        <v>300</v>
      </c>
      <c r="Y29" s="7">
        <f t="shared" si="49"/>
        <v>0</v>
      </c>
      <c r="Z29" s="7">
        <f t="shared" si="56"/>
        <v>300</v>
      </c>
      <c r="AA29" s="22">
        <f t="shared" si="57"/>
        <v>0</v>
      </c>
      <c r="AB29" s="72"/>
      <c r="AC29" s="8">
        <v>300</v>
      </c>
      <c r="AD29" s="7">
        <v>0</v>
      </c>
      <c r="AE29" s="6">
        <f t="shared" si="50"/>
        <v>300</v>
      </c>
      <c r="AF29" s="161"/>
      <c r="AG29" s="22"/>
      <c r="AH29" s="6"/>
      <c r="AI29" s="6"/>
      <c r="AJ29" s="7">
        <f t="shared" si="51"/>
        <v>300</v>
      </c>
      <c r="AK29" s="6">
        <f t="shared" si="51"/>
        <v>0</v>
      </c>
      <c r="AL29" s="7">
        <f t="shared" si="51"/>
        <v>300</v>
      </c>
      <c r="AM29" s="6">
        <f t="shared" si="52"/>
        <v>0</v>
      </c>
      <c r="AN29" s="72"/>
      <c r="AO29" s="8">
        <f>166+134</f>
        <v>300</v>
      </c>
      <c r="AP29" s="7">
        <v>0</v>
      </c>
      <c r="AQ29" s="7">
        <f t="shared" si="53"/>
        <v>300</v>
      </c>
      <c r="AR29" s="6"/>
      <c r="AS29" s="6"/>
      <c r="AT29" s="6"/>
      <c r="AU29" s="71">
        <f t="shared" si="54"/>
        <v>300</v>
      </c>
      <c r="AV29" s="6">
        <f t="shared" si="54"/>
        <v>0</v>
      </c>
      <c r="AW29" s="6">
        <f t="shared" si="54"/>
        <v>300</v>
      </c>
      <c r="AX29" s="6">
        <f t="shared" si="42"/>
        <v>0</v>
      </c>
      <c r="AY29" s="78" t="s">
        <v>270</v>
      </c>
      <c r="AZ29" s="8">
        <v>166</v>
      </c>
      <c r="BA29" s="7">
        <v>0</v>
      </c>
      <c r="BB29" s="7">
        <f t="shared" si="43"/>
        <v>166</v>
      </c>
      <c r="BC29" s="6"/>
      <c r="BD29" s="6"/>
      <c r="BE29" s="6"/>
      <c r="BF29" s="7">
        <f t="shared" si="18"/>
        <v>166</v>
      </c>
      <c r="BG29" s="6">
        <f t="shared" si="18"/>
        <v>0</v>
      </c>
      <c r="BH29" s="6">
        <f t="shared" si="18"/>
        <v>166</v>
      </c>
      <c r="BI29" s="162"/>
      <c r="BJ29" s="163">
        <v>166</v>
      </c>
      <c r="BK29" s="164">
        <v>0</v>
      </c>
      <c r="BL29" s="164">
        <f t="shared" si="55"/>
        <v>166</v>
      </c>
      <c r="BM29" s="165"/>
      <c r="BN29" s="165"/>
      <c r="BO29" s="165"/>
      <c r="BP29" s="6">
        <f t="shared" si="4"/>
        <v>166</v>
      </c>
      <c r="BQ29" s="6">
        <f t="shared" si="4"/>
        <v>0</v>
      </c>
      <c r="BR29" s="6">
        <f t="shared" si="4"/>
        <v>166</v>
      </c>
      <c r="BS29" s="166"/>
      <c r="BT29" s="2"/>
      <c r="BU29" s="2"/>
    </row>
    <row r="30" spans="1:73" ht="35.1" customHeight="1" x14ac:dyDescent="0.25">
      <c r="A30" s="10" t="s">
        <v>160</v>
      </c>
      <c r="B30" s="9" t="s">
        <v>161</v>
      </c>
      <c r="C30" s="70" t="s">
        <v>85</v>
      </c>
      <c r="D30" s="71">
        <v>1081</v>
      </c>
      <c r="E30" s="7"/>
      <c r="F30" s="7">
        <f t="shared" si="44"/>
        <v>1081</v>
      </c>
      <c r="G30" s="6"/>
      <c r="H30" s="6"/>
      <c r="I30" s="6"/>
      <c r="J30" s="7">
        <f t="shared" si="45"/>
        <v>1081</v>
      </c>
      <c r="K30" s="6">
        <f t="shared" si="45"/>
        <v>0</v>
      </c>
      <c r="L30" s="6">
        <f t="shared" si="45"/>
        <v>1081</v>
      </c>
      <c r="M30" s="72"/>
      <c r="N30" s="71">
        <v>1081</v>
      </c>
      <c r="O30" s="7">
        <v>0</v>
      </c>
      <c r="P30" s="7">
        <f t="shared" si="46"/>
        <v>1081</v>
      </c>
      <c r="Q30" s="6"/>
      <c r="R30" s="6"/>
      <c r="S30" s="6"/>
      <c r="T30" s="7">
        <f t="shared" si="47"/>
        <v>1081</v>
      </c>
      <c r="U30" s="6">
        <f t="shared" si="47"/>
        <v>0</v>
      </c>
      <c r="V30" s="6">
        <f t="shared" si="47"/>
        <v>1081</v>
      </c>
      <c r="W30" s="160"/>
      <c r="X30" s="8">
        <f t="shared" si="48"/>
        <v>1081</v>
      </c>
      <c r="Y30" s="7">
        <f t="shared" si="49"/>
        <v>0</v>
      </c>
      <c r="Z30" s="7">
        <f t="shared" si="56"/>
        <v>1081</v>
      </c>
      <c r="AA30" s="22">
        <f t="shared" si="57"/>
        <v>0</v>
      </c>
      <c r="AB30" s="72"/>
      <c r="AC30" s="8">
        <v>1081</v>
      </c>
      <c r="AD30" s="7">
        <v>0</v>
      </c>
      <c r="AE30" s="6">
        <f t="shared" si="50"/>
        <v>1081</v>
      </c>
      <c r="AF30" s="161"/>
      <c r="AG30" s="22"/>
      <c r="AH30" s="6"/>
      <c r="AI30" s="6"/>
      <c r="AJ30" s="7">
        <f t="shared" si="51"/>
        <v>1081</v>
      </c>
      <c r="AK30" s="6">
        <f t="shared" si="51"/>
        <v>0</v>
      </c>
      <c r="AL30" s="7">
        <f t="shared" si="51"/>
        <v>1081</v>
      </c>
      <c r="AM30" s="6">
        <f t="shared" si="52"/>
        <v>0</v>
      </c>
      <c r="AN30" s="72"/>
      <c r="AO30" s="8">
        <f>911+170</f>
        <v>1081</v>
      </c>
      <c r="AP30" s="7">
        <v>0</v>
      </c>
      <c r="AQ30" s="7">
        <f t="shared" si="53"/>
        <v>1081</v>
      </c>
      <c r="AR30" s="6"/>
      <c r="AS30" s="6"/>
      <c r="AT30" s="6"/>
      <c r="AU30" s="71">
        <f t="shared" si="54"/>
        <v>1081</v>
      </c>
      <c r="AV30" s="6">
        <f t="shared" si="54"/>
        <v>0</v>
      </c>
      <c r="AW30" s="6">
        <f t="shared" si="54"/>
        <v>1081</v>
      </c>
      <c r="AX30" s="6">
        <f t="shared" si="42"/>
        <v>0</v>
      </c>
      <c r="AY30" s="78" t="s">
        <v>270</v>
      </c>
      <c r="AZ30" s="8">
        <v>911</v>
      </c>
      <c r="BA30" s="7">
        <v>0</v>
      </c>
      <c r="BB30" s="7">
        <f t="shared" si="43"/>
        <v>911</v>
      </c>
      <c r="BC30" s="6"/>
      <c r="BD30" s="6"/>
      <c r="BE30" s="6"/>
      <c r="BF30" s="7">
        <f t="shared" si="18"/>
        <v>911</v>
      </c>
      <c r="BG30" s="6">
        <f t="shared" si="18"/>
        <v>0</v>
      </c>
      <c r="BH30" s="6">
        <f t="shared" si="18"/>
        <v>911</v>
      </c>
      <c r="BI30" s="162"/>
      <c r="BJ30" s="163">
        <v>911</v>
      </c>
      <c r="BK30" s="164">
        <v>0</v>
      </c>
      <c r="BL30" s="164">
        <f t="shared" si="55"/>
        <v>911</v>
      </c>
      <c r="BM30" s="165"/>
      <c r="BN30" s="165"/>
      <c r="BO30" s="165"/>
      <c r="BP30" s="6">
        <f t="shared" si="4"/>
        <v>911</v>
      </c>
      <c r="BQ30" s="6">
        <f t="shared" si="4"/>
        <v>0</v>
      </c>
      <c r="BR30" s="6">
        <f t="shared" si="4"/>
        <v>911</v>
      </c>
      <c r="BS30" s="166"/>
      <c r="BT30" s="2"/>
      <c r="BU30" s="2"/>
    </row>
    <row r="31" spans="1:73" ht="35.1" customHeight="1" x14ac:dyDescent="0.25">
      <c r="A31" s="10" t="s">
        <v>162</v>
      </c>
      <c r="B31" s="9" t="s">
        <v>163</v>
      </c>
      <c r="C31" s="74" t="s">
        <v>85</v>
      </c>
      <c r="D31" s="71">
        <v>200</v>
      </c>
      <c r="E31" s="7"/>
      <c r="F31" s="7">
        <f t="shared" si="44"/>
        <v>200</v>
      </c>
      <c r="G31" s="6"/>
      <c r="H31" s="6"/>
      <c r="I31" s="6"/>
      <c r="J31" s="7">
        <f t="shared" si="45"/>
        <v>200</v>
      </c>
      <c r="K31" s="6">
        <f t="shared" si="45"/>
        <v>0</v>
      </c>
      <c r="L31" s="6">
        <f t="shared" si="45"/>
        <v>200</v>
      </c>
      <c r="M31" s="73"/>
      <c r="N31" s="71">
        <v>200</v>
      </c>
      <c r="O31" s="7">
        <v>0</v>
      </c>
      <c r="P31" s="7">
        <f t="shared" si="46"/>
        <v>200</v>
      </c>
      <c r="Q31" s="6"/>
      <c r="R31" s="6"/>
      <c r="S31" s="6"/>
      <c r="T31" s="7">
        <f t="shared" si="47"/>
        <v>200</v>
      </c>
      <c r="U31" s="6">
        <f t="shared" si="47"/>
        <v>0</v>
      </c>
      <c r="V31" s="6">
        <f t="shared" si="47"/>
        <v>200</v>
      </c>
      <c r="W31" s="160"/>
      <c r="X31" s="8">
        <f t="shared" si="48"/>
        <v>200</v>
      </c>
      <c r="Y31" s="7">
        <f t="shared" si="49"/>
        <v>0</v>
      </c>
      <c r="Z31" s="7">
        <f t="shared" si="56"/>
        <v>200</v>
      </c>
      <c r="AA31" s="22">
        <f t="shared" si="57"/>
        <v>0</v>
      </c>
      <c r="AB31" s="73"/>
      <c r="AC31" s="8">
        <v>200</v>
      </c>
      <c r="AD31" s="7">
        <v>0</v>
      </c>
      <c r="AE31" s="6">
        <f t="shared" si="50"/>
        <v>200</v>
      </c>
      <c r="AF31" s="161"/>
      <c r="AG31" s="22"/>
      <c r="AH31" s="6"/>
      <c r="AI31" s="6"/>
      <c r="AJ31" s="7">
        <f t="shared" si="51"/>
        <v>200</v>
      </c>
      <c r="AK31" s="6">
        <f t="shared" si="51"/>
        <v>0</v>
      </c>
      <c r="AL31" s="6">
        <f t="shared" si="51"/>
        <v>200</v>
      </c>
      <c r="AM31" s="6">
        <f t="shared" si="52"/>
        <v>0</v>
      </c>
      <c r="AN31" s="73"/>
      <c r="AO31" s="8">
        <v>200</v>
      </c>
      <c r="AP31" s="7">
        <v>0</v>
      </c>
      <c r="AQ31" s="7">
        <f t="shared" si="53"/>
        <v>200</v>
      </c>
      <c r="AR31" s="6"/>
      <c r="AS31" s="6"/>
      <c r="AT31" s="6"/>
      <c r="AU31" s="71">
        <f t="shared" si="54"/>
        <v>200</v>
      </c>
      <c r="AV31" s="6">
        <f t="shared" si="54"/>
        <v>0</v>
      </c>
      <c r="AW31" s="6">
        <f t="shared" si="54"/>
        <v>200</v>
      </c>
      <c r="AX31" s="6">
        <f t="shared" si="42"/>
        <v>0</v>
      </c>
      <c r="AY31" s="73"/>
      <c r="AZ31" s="8">
        <v>200</v>
      </c>
      <c r="BA31" s="7">
        <v>0</v>
      </c>
      <c r="BB31" s="7">
        <f t="shared" si="43"/>
        <v>200</v>
      </c>
      <c r="BC31" s="6"/>
      <c r="BD31" s="6"/>
      <c r="BE31" s="6"/>
      <c r="BF31" s="7">
        <f t="shared" si="18"/>
        <v>200</v>
      </c>
      <c r="BG31" s="6">
        <f t="shared" si="18"/>
        <v>0</v>
      </c>
      <c r="BH31" s="6">
        <f t="shared" si="18"/>
        <v>200</v>
      </c>
      <c r="BI31" s="162"/>
      <c r="BJ31" s="163">
        <v>200</v>
      </c>
      <c r="BK31" s="164">
        <v>0</v>
      </c>
      <c r="BL31" s="164">
        <f t="shared" si="55"/>
        <v>200</v>
      </c>
      <c r="BM31" s="165"/>
      <c r="BN31" s="165"/>
      <c r="BO31" s="165"/>
      <c r="BP31" s="6">
        <f t="shared" si="4"/>
        <v>200</v>
      </c>
      <c r="BQ31" s="6">
        <f t="shared" si="4"/>
        <v>0</v>
      </c>
      <c r="BR31" s="6">
        <f t="shared" si="4"/>
        <v>200</v>
      </c>
      <c r="BS31" s="166"/>
      <c r="BT31" s="2"/>
      <c r="BU31" s="2"/>
    </row>
    <row r="32" spans="1:73" s="18" customFormat="1" ht="35.1" customHeight="1" x14ac:dyDescent="0.25">
      <c r="A32" s="88" t="s">
        <v>164</v>
      </c>
      <c r="B32" s="85" t="s">
        <v>165</v>
      </c>
      <c r="C32" s="86" t="s">
        <v>85</v>
      </c>
      <c r="D32" s="87">
        <v>651</v>
      </c>
      <c r="E32" s="20"/>
      <c r="F32" s="19">
        <f t="shared" si="44"/>
        <v>651</v>
      </c>
      <c r="G32" s="20"/>
      <c r="H32" s="20"/>
      <c r="I32" s="20"/>
      <c r="J32" s="20">
        <f t="shared" si="45"/>
        <v>651</v>
      </c>
      <c r="K32" s="17">
        <f t="shared" si="45"/>
        <v>0</v>
      </c>
      <c r="L32" s="17">
        <f t="shared" si="45"/>
        <v>651</v>
      </c>
      <c r="M32" s="90"/>
      <c r="N32" s="87">
        <v>651</v>
      </c>
      <c r="O32" s="20">
        <v>0</v>
      </c>
      <c r="P32" s="19">
        <f t="shared" si="46"/>
        <v>651</v>
      </c>
      <c r="Q32" s="20"/>
      <c r="R32" s="20"/>
      <c r="S32" s="20"/>
      <c r="T32" s="20">
        <f t="shared" si="47"/>
        <v>651</v>
      </c>
      <c r="U32" s="17">
        <f t="shared" si="47"/>
        <v>0</v>
      </c>
      <c r="V32" s="17">
        <f t="shared" si="47"/>
        <v>651</v>
      </c>
      <c r="W32" s="177"/>
      <c r="X32" s="8">
        <f t="shared" si="48"/>
        <v>651</v>
      </c>
      <c r="Y32" s="7">
        <f t="shared" si="49"/>
        <v>0</v>
      </c>
      <c r="Z32" s="7">
        <f t="shared" si="56"/>
        <v>651</v>
      </c>
      <c r="AA32" s="22">
        <f t="shared" si="57"/>
        <v>0</v>
      </c>
      <c r="AB32" s="185" t="s">
        <v>272</v>
      </c>
      <c r="AC32" s="20">
        <v>651</v>
      </c>
      <c r="AD32" s="20">
        <v>0</v>
      </c>
      <c r="AE32" s="17">
        <f t="shared" si="50"/>
        <v>651</v>
      </c>
      <c r="AF32" s="161"/>
      <c r="AG32" s="20"/>
      <c r="AH32" s="20"/>
      <c r="AI32" s="20"/>
      <c r="AJ32" s="19">
        <f t="shared" si="51"/>
        <v>651</v>
      </c>
      <c r="AK32" s="17">
        <f t="shared" si="51"/>
        <v>0</v>
      </c>
      <c r="AL32" s="19">
        <f t="shared" si="51"/>
        <v>651</v>
      </c>
      <c r="AM32" s="6">
        <f t="shared" si="52"/>
        <v>0</v>
      </c>
      <c r="AN32" s="78" t="s">
        <v>273</v>
      </c>
      <c r="AO32" s="20">
        <v>351</v>
      </c>
      <c r="AP32" s="20">
        <v>0</v>
      </c>
      <c r="AQ32" s="20">
        <f t="shared" si="53"/>
        <v>351</v>
      </c>
      <c r="AR32" s="20"/>
      <c r="AS32" s="20"/>
      <c r="AT32" s="21"/>
      <c r="AU32" s="87">
        <f t="shared" si="54"/>
        <v>351</v>
      </c>
      <c r="AV32" s="17">
        <f t="shared" si="54"/>
        <v>0</v>
      </c>
      <c r="AW32" s="17">
        <f t="shared" si="54"/>
        <v>351</v>
      </c>
      <c r="AX32" s="6">
        <f t="shared" si="42"/>
        <v>300</v>
      </c>
      <c r="AY32" s="280"/>
      <c r="AZ32" s="20"/>
      <c r="BA32" s="20"/>
      <c r="BB32" s="20"/>
      <c r="BC32" s="20"/>
      <c r="BD32" s="20"/>
      <c r="BE32" s="20"/>
      <c r="BF32" s="20">
        <v>0</v>
      </c>
      <c r="BG32" s="20">
        <v>0</v>
      </c>
      <c r="BH32" s="21">
        <v>0</v>
      </c>
      <c r="BI32" s="179"/>
      <c r="BJ32" s="180"/>
      <c r="BK32" s="180"/>
      <c r="BL32" s="180"/>
      <c r="BM32" s="186"/>
      <c r="BN32" s="181"/>
      <c r="BO32" s="186"/>
      <c r="BP32" s="19"/>
      <c r="BQ32" s="19"/>
      <c r="BR32" s="20"/>
      <c r="BS32" s="183"/>
      <c r="BT32" s="2"/>
      <c r="BU32" s="2"/>
    </row>
    <row r="33" spans="1:74" s="18" customFormat="1" ht="120.75" customHeight="1" x14ac:dyDescent="0.25">
      <c r="A33" s="10" t="s">
        <v>166</v>
      </c>
      <c r="B33" s="9" t="s">
        <v>167</v>
      </c>
      <c r="C33" s="74" t="s">
        <v>85</v>
      </c>
      <c r="D33" s="71">
        <v>12198</v>
      </c>
      <c r="E33" s="8"/>
      <c r="F33" s="7">
        <f t="shared" si="44"/>
        <v>12198</v>
      </c>
      <c r="G33" s="8"/>
      <c r="H33" s="8"/>
      <c r="I33" s="8"/>
      <c r="J33" s="8">
        <f t="shared" si="45"/>
        <v>12198</v>
      </c>
      <c r="K33" s="6"/>
      <c r="L33" s="6">
        <f t="shared" si="45"/>
        <v>12198</v>
      </c>
      <c r="M33" s="281" t="s">
        <v>360</v>
      </c>
      <c r="N33" s="71">
        <v>12198</v>
      </c>
      <c r="O33" s="8"/>
      <c r="P33" s="7">
        <f>SUM(N33:O33)</f>
        <v>12198</v>
      </c>
      <c r="Q33" s="8"/>
      <c r="R33" s="8"/>
      <c r="S33" s="8"/>
      <c r="T33" s="8">
        <f t="shared" si="47"/>
        <v>12198</v>
      </c>
      <c r="U33" s="6"/>
      <c r="V33" s="6">
        <f>P33-S33</f>
        <v>12198</v>
      </c>
      <c r="W33" s="160"/>
      <c r="X33" s="8">
        <f t="shared" si="48"/>
        <v>12198</v>
      </c>
      <c r="Y33" s="7">
        <f t="shared" si="49"/>
        <v>0</v>
      </c>
      <c r="Z33" s="7">
        <f t="shared" si="56"/>
        <v>12198</v>
      </c>
      <c r="AA33" s="22">
        <f t="shared" si="57"/>
        <v>0</v>
      </c>
      <c r="AB33" s="73" t="s">
        <v>168</v>
      </c>
      <c r="AC33" s="20">
        <v>12198</v>
      </c>
      <c r="AD33" s="20"/>
      <c r="AE33" s="17">
        <f>SUM(AC33:AD33)</f>
        <v>12198</v>
      </c>
      <c r="AF33" s="161"/>
      <c r="AG33" s="20"/>
      <c r="AH33" s="20"/>
      <c r="AI33" s="20"/>
      <c r="AJ33" s="19">
        <f t="shared" si="51"/>
        <v>12198</v>
      </c>
      <c r="AK33" s="17"/>
      <c r="AL33" s="17">
        <f>AE33-AI33</f>
        <v>12198</v>
      </c>
      <c r="AM33" s="6">
        <f t="shared" si="52"/>
        <v>0</v>
      </c>
      <c r="AN33" s="78" t="s">
        <v>274</v>
      </c>
      <c r="AO33" s="20">
        <v>15722</v>
      </c>
      <c r="AP33" s="20">
        <v>0</v>
      </c>
      <c r="AQ33" s="20">
        <f t="shared" si="53"/>
        <v>15722</v>
      </c>
      <c r="AR33" s="20"/>
      <c r="AS33" s="20"/>
      <c r="AT33" s="21"/>
      <c r="AU33" s="87">
        <v>11900</v>
      </c>
      <c r="AV33" s="17">
        <f t="shared" si="54"/>
        <v>0</v>
      </c>
      <c r="AW33" s="17">
        <v>11900</v>
      </c>
      <c r="AX33" s="6">
        <f t="shared" si="42"/>
        <v>298</v>
      </c>
      <c r="AY33" s="187"/>
      <c r="AZ33" s="20"/>
      <c r="BA33" s="20"/>
      <c r="BB33" s="20"/>
      <c r="BC33" s="20"/>
      <c r="BD33" s="20"/>
      <c r="BE33" s="20"/>
      <c r="BF33" s="20"/>
      <c r="BG33" s="20"/>
      <c r="BH33" s="21"/>
      <c r="BI33" s="179"/>
      <c r="BJ33" s="180"/>
      <c r="BK33" s="180"/>
      <c r="BL33" s="180"/>
      <c r="BM33" s="186"/>
      <c r="BN33" s="181"/>
      <c r="BO33" s="186"/>
      <c r="BP33" s="19"/>
      <c r="BQ33" s="19"/>
      <c r="BR33" s="20"/>
      <c r="BS33" s="183"/>
      <c r="BT33" s="2"/>
      <c r="BU33" s="2"/>
    </row>
    <row r="34" spans="1:74" s="5" customFormat="1" ht="25.5" x14ac:dyDescent="0.25">
      <c r="A34" s="79"/>
      <c r="B34" s="80" t="s">
        <v>169</v>
      </c>
      <c r="C34" s="81"/>
      <c r="D34" s="82">
        <f t="shared" ref="D34:L34" si="58">SUM(D26:D33)</f>
        <v>162362</v>
      </c>
      <c r="E34" s="16">
        <f t="shared" si="58"/>
        <v>912</v>
      </c>
      <c r="F34" s="15">
        <f t="shared" si="58"/>
        <v>163274</v>
      </c>
      <c r="G34" s="16">
        <f t="shared" si="58"/>
        <v>634.30000000000007</v>
      </c>
      <c r="H34" s="16">
        <f t="shared" si="58"/>
        <v>45.6</v>
      </c>
      <c r="I34" s="16">
        <f t="shared" si="58"/>
        <v>679.90000000000009</v>
      </c>
      <c r="J34" s="16">
        <f t="shared" si="58"/>
        <v>161727.70000000001</v>
      </c>
      <c r="K34" s="16">
        <f t="shared" si="58"/>
        <v>866.4</v>
      </c>
      <c r="L34" s="15">
        <f t="shared" si="58"/>
        <v>162594.1</v>
      </c>
      <c r="M34" s="91"/>
      <c r="N34" s="82">
        <f t="shared" ref="N34:AA34" si="59">SUM(N26:N33)</f>
        <v>162362</v>
      </c>
      <c r="O34" s="16">
        <f t="shared" si="59"/>
        <v>950</v>
      </c>
      <c r="P34" s="15">
        <f t="shared" si="59"/>
        <v>163312</v>
      </c>
      <c r="Q34" s="16">
        <f t="shared" si="59"/>
        <v>634.30000000000007</v>
      </c>
      <c r="R34" s="16">
        <f t="shared" si="59"/>
        <v>47.5</v>
      </c>
      <c r="S34" s="16">
        <f t="shared" si="59"/>
        <v>681.80000000000007</v>
      </c>
      <c r="T34" s="16">
        <f t="shared" si="59"/>
        <v>161727.70000000001</v>
      </c>
      <c r="U34" s="16">
        <f t="shared" si="59"/>
        <v>901.5</v>
      </c>
      <c r="V34" s="26">
        <f t="shared" si="59"/>
        <v>162630.20000000001</v>
      </c>
      <c r="W34" s="167">
        <f t="shared" si="59"/>
        <v>36</v>
      </c>
      <c r="X34" s="16">
        <f t="shared" si="59"/>
        <v>161727.70000000001</v>
      </c>
      <c r="Y34" s="15">
        <f t="shared" si="59"/>
        <v>865.5</v>
      </c>
      <c r="Z34" s="15">
        <f t="shared" si="59"/>
        <v>162594.20000000001</v>
      </c>
      <c r="AA34" s="188">
        <f t="shared" si="59"/>
        <v>-9.9999999999454303E-2</v>
      </c>
      <c r="AB34" s="83"/>
      <c r="AC34" s="16">
        <f t="shared" ref="AC34:AM34" si="60">SUM(AC26:AC33)</f>
        <v>162362</v>
      </c>
      <c r="AD34" s="16">
        <f t="shared" si="60"/>
        <v>950</v>
      </c>
      <c r="AE34" s="14">
        <f t="shared" si="60"/>
        <v>163312</v>
      </c>
      <c r="AF34" s="168">
        <f t="shared" si="60"/>
        <v>74</v>
      </c>
      <c r="AG34" s="16">
        <f t="shared" si="60"/>
        <v>634</v>
      </c>
      <c r="AH34" s="16">
        <f t="shared" si="60"/>
        <v>44</v>
      </c>
      <c r="AI34" s="16">
        <f t="shared" si="60"/>
        <v>678</v>
      </c>
      <c r="AJ34" s="15">
        <f t="shared" si="60"/>
        <v>161728</v>
      </c>
      <c r="AK34" s="16">
        <f t="shared" si="60"/>
        <v>832</v>
      </c>
      <c r="AL34" s="16">
        <f t="shared" si="60"/>
        <v>162560</v>
      </c>
      <c r="AM34" s="15">
        <f t="shared" si="60"/>
        <v>70.199999999999818</v>
      </c>
      <c r="AN34" s="91"/>
      <c r="AO34" s="16">
        <f t="shared" ref="AO34:AX34" si="61">SUM(AO26:AO33)</f>
        <v>165586</v>
      </c>
      <c r="AP34" s="16">
        <f t="shared" si="61"/>
        <v>950</v>
      </c>
      <c r="AQ34" s="16">
        <f t="shared" si="61"/>
        <v>166536</v>
      </c>
      <c r="AR34" s="16">
        <f t="shared" si="61"/>
        <v>634.30000000000007</v>
      </c>
      <c r="AS34" s="16">
        <f t="shared" si="61"/>
        <v>47.5</v>
      </c>
      <c r="AT34" s="26">
        <f t="shared" si="61"/>
        <v>681.80000000000007</v>
      </c>
      <c r="AU34" s="82">
        <f t="shared" si="61"/>
        <v>161129.70000000001</v>
      </c>
      <c r="AV34" s="16">
        <f t="shared" si="61"/>
        <v>901.5</v>
      </c>
      <c r="AW34" s="16">
        <f t="shared" si="61"/>
        <v>162032.20000000001</v>
      </c>
      <c r="AX34" s="16">
        <f t="shared" si="61"/>
        <v>527.80000000000018</v>
      </c>
      <c r="AY34" s="169"/>
      <c r="AZ34" s="16">
        <f t="shared" ref="AZ34:BE34" si="62">SUM(AZ26:AZ31)</f>
        <v>149209</v>
      </c>
      <c r="BA34" s="16">
        <f t="shared" si="62"/>
        <v>950</v>
      </c>
      <c r="BB34" s="16">
        <f t="shared" si="62"/>
        <v>150159</v>
      </c>
      <c r="BC34" s="16">
        <f t="shared" si="62"/>
        <v>634</v>
      </c>
      <c r="BD34" s="16">
        <f t="shared" si="62"/>
        <v>48</v>
      </c>
      <c r="BE34" s="16">
        <f t="shared" si="62"/>
        <v>682</v>
      </c>
      <c r="BF34" s="16">
        <f t="shared" si="18"/>
        <v>148575</v>
      </c>
      <c r="BG34" s="16">
        <f t="shared" si="18"/>
        <v>902</v>
      </c>
      <c r="BH34" s="16">
        <f t="shared" si="18"/>
        <v>149477</v>
      </c>
      <c r="BI34" s="170"/>
      <c r="BJ34" s="171">
        <f t="shared" ref="BJ34:BO34" si="63">SUM(BJ26:BJ31)</f>
        <v>148919</v>
      </c>
      <c r="BK34" s="171">
        <f t="shared" si="63"/>
        <v>539</v>
      </c>
      <c r="BL34" s="171">
        <f t="shared" si="63"/>
        <v>149458</v>
      </c>
      <c r="BM34" s="171">
        <f t="shared" si="63"/>
        <v>673</v>
      </c>
      <c r="BN34" s="171">
        <f t="shared" si="63"/>
        <v>28</v>
      </c>
      <c r="BO34" s="171">
        <f t="shared" si="63"/>
        <v>701</v>
      </c>
      <c r="BP34" s="16">
        <f t="shared" si="4"/>
        <v>149592</v>
      </c>
      <c r="BQ34" s="16">
        <f t="shared" si="4"/>
        <v>567</v>
      </c>
      <c r="BR34" s="16">
        <f t="shared" si="4"/>
        <v>150159</v>
      </c>
      <c r="BS34" s="174"/>
      <c r="BT34" s="2"/>
      <c r="BU34" s="2"/>
    </row>
    <row r="35" spans="1:74" ht="48" customHeight="1" x14ac:dyDescent="0.25">
      <c r="A35" s="10" t="s">
        <v>170</v>
      </c>
      <c r="B35" s="85" t="s">
        <v>3</v>
      </c>
      <c r="C35" s="74" t="s">
        <v>14</v>
      </c>
      <c r="D35" s="71">
        <v>2324</v>
      </c>
      <c r="E35" s="7">
        <v>316</v>
      </c>
      <c r="F35" s="7">
        <f>SUM(D35:E35)</f>
        <v>2640</v>
      </c>
      <c r="G35" s="6">
        <f>D35*10%</f>
        <v>232.4</v>
      </c>
      <c r="H35" s="6">
        <f>E35*5%</f>
        <v>15.8</v>
      </c>
      <c r="I35" s="6">
        <f>SUM(G35:H35)</f>
        <v>248.20000000000002</v>
      </c>
      <c r="J35" s="7">
        <f>D35-G35</f>
        <v>2091.6</v>
      </c>
      <c r="K35" s="6">
        <f>E35-H35</f>
        <v>300.2</v>
      </c>
      <c r="L35" s="6">
        <f>F35-I35</f>
        <v>2391.8000000000002</v>
      </c>
      <c r="M35" s="73" t="s">
        <v>171</v>
      </c>
      <c r="N35" s="71">
        <v>5104</v>
      </c>
      <c r="O35" s="7">
        <v>842</v>
      </c>
      <c r="P35" s="7">
        <f>SUM(N35:O35)</f>
        <v>5946</v>
      </c>
      <c r="Q35" s="6">
        <f>N35*10%</f>
        <v>510.40000000000003</v>
      </c>
      <c r="R35" s="6">
        <f>O35*5%</f>
        <v>42.1</v>
      </c>
      <c r="S35" s="6">
        <f>SUM(Q35:R35)-1</f>
        <v>551.5</v>
      </c>
      <c r="T35" s="7">
        <f>N35-Q35</f>
        <v>4593.6000000000004</v>
      </c>
      <c r="U35" s="6">
        <f>O35-R35</f>
        <v>799.9</v>
      </c>
      <c r="V35" s="6">
        <f>P35-S35-1</f>
        <v>5393.5</v>
      </c>
      <c r="W35" s="160">
        <v>32</v>
      </c>
      <c r="X35" s="8">
        <f>T35</f>
        <v>4593.6000000000004</v>
      </c>
      <c r="Y35" s="7">
        <f>U35-W35</f>
        <v>767.9</v>
      </c>
      <c r="Z35" s="7">
        <f>X35+Y35</f>
        <v>5361.5</v>
      </c>
      <c r="AA35" s="7">
        <f>L35-Z35</f>
        <v>-2969.7</v>
      </c>
      <c r="AB35" s="101" t="s">
        <v>171</v>
      </c>
      <c r="AC35" s="8">
        <v>8193</v>
      </c>
      <c r="AD35" s="7">
        <v>316</v>
      </c>
      <c r="AE35" s="6">
        <f>SUM(AC35:AD35)</f>
        <v>8509</v>
      </c>
      <c r="AF35" s="161">
        <v>25</v>
      </c>
      <c r="AG35" s="22">
        <v>819</v>
      </c>
      <c r="AH35" s="6">
        <v>15</v>
      </c>
      <c r="AI35" s="6">
        <f>SUM(AG35:AH35)</f>
        <v>834</v>
      </c>
      <c r="AJ35" s="7">
        <f>AC35-AG35</f>
        <v>7374</v>
      </c>
      <c r="AK35" s="6">
        <f>AD35-AH35-AF35</f>
        <v>276</v>
      </c>
      <c r="AL35" s="6">
        <f>AE35-AI35-AF35</f>
        <v>7650</v>
      </c>
      <c r="AM35" s="6">
        <f>V35-AL35</f>
        <v>-2256.5</v>
      </c>
      <c r="AN35" s="73" t="s">
        <v>275</v>
      </c>
      <c r="AO35" s="8">
        <v>7862</v>
      </c>
      <c r="AP35" s="7">
        <v>0</v>
      </c>
      <c r="AQ35" s="7">
        <f>SUM(AO35:AP35)</f>
        <v>7862</v>
      </c>
      <c r="AR35" s="6">
        <f>AO35*10%</f>
        <v>786.2</v>
      </c>
      <c r="AS35" s="6">
        <f>AP35*5%</f>
        <v>0</v>
      </c>
      <c r="AT35" s="6">
        <f>SUM(AR35:AS35)</f>
        <v>786.2</v>
      </c>
      <c r="AU35" s="71">
        <f>AO35-AR35</f>
        <v>7075.8</v>
      </c>
      <c r="AV35" s="6">
        <f>AP35-AS35</f>
        <v>0</v>
      </c>
      <c r="AW35" s="6">
        <f>AQ35-AT35</f>
        <v>7075.8</v>
      </c>
      <c r="AX35" s="17">
        <f t="shared" ref="AX35:AX39" si="64">AL35-AW35</f>
        <v>574.19999999999982</v>
      </c>
      <c r="AY35" s="325" t="s">
        <v>276</v>
      </c>
      <c r="AZ35" s="8">
        <v>9292</v>
      </c>
      <c r="BA35" s="7">
        <v>0</v>
      </c>
      <c r="BB35" s="7">
        <f t="shared" ref="BB35:BB39" si="65">SUM(AZ35:BA35)</f>
        <v>9292</v>
      </c>
      <c r="BC35" s="6">
        <v>929</v>
      </c>
      <c r="BD35" s="6">
        <v>0</v>
      </c>
      <c r="BE35" s="6">
        <f>SUM(BC35:BD35)</f>
        <v>929</v>
      </c>
      <c r="BF35" s="7">
        <f t="shared" si="18"/>
        <v>8363</v>
      </c>
      <c r="BG35" s="6">
        <f t="shared" si="18"/>
        <v>0</v>
      </c>
      <c r="BH35" s="6">
        <f t="shared" si="18"/>
        <v>8363</v>
      </c>
      <c r="BI35" s="320" t="s">
        <v>277</v>
      </c>
      <c r="BJ35" s="163">
        <v>8415</v>
      </c>
      <c r="BK35" s="164">
        <v>7173</v>
      </c>
      <c r="BL35" s="164">
        <f>SUM(BJ35:BK35)</f>
        <v>15588</v>
      </c>
      <c r="BM35" s="165">
        <v>935</v>
      </c>
      <c r="BN35" s="165">
        <v>378</v>
      </c>
      <c r="BO35" s="165">
        <f>SUM(BM35:BN35)</f>
        <v>1313</v>
      </c>
      <c r="BP35" s="6">
        <f t="shared" si="4"/>
        <v>9350</v>
      </c>
      <c r="BQ35" s="6">
        <f t="shared" si="4"/>
        <v>7551</v>
      </c>
      <c r="BR35" s="6">
        <f t="shared" si="4"/>
        <v>16901</v>
      </c>
      <c r="BS35" s="166"/>
      <c r="BT35" s="2"/>
      <c r="BU35" s="2"/>
    </row>
    <row r="36" spans="1:74" ht="109.5" customHeight="1" x14ac:dyDescent="0.25">
      <c r="A36" s="11" t="s">
        <v>172</v>
      </c>
      <c r="B36" s="85" t="s">
        <v>86</v>
      </c>
      <c r="C36" s="70" t="s">
        <v>14</v>
      </c>
      <c r="D36" s="71">
        <v>45254</v>
      </c>
      <c r="E36" s="7">
        <v>6263</v>
      </c>
      <c r="F36" s="7">
        <f t="shared" ref="F36:F41" si="66">SUM(D36:E36)</f>
        <v>51517</v>
      </c>
      <c r="G36" s="6">
        <f>D36*10%</f>
        <v>4525.4000000000005</v>
      </c>
      <c r="H36" s="6">
        <f>E36*5%</f>
        <v>313.15000000000003</v>
      </c>
      <c r="I36" s="6">
        <f>SUM(G36:H36)-1</f>
        <v>4837.55</v>
      </c>
      <c r="J36" s="7">
        <f t="shared" ref="J36:L50" si="67">D36-G36</f>
        <v>40728.6</v>
      </c>
      <c r="K36" s="6">
        <f t="shared" si="67"/>
        <v>5949.85</v>
      </c>
      <c r="L36" s="6">
        <f t="shared" si="67"/>
        <v>46679.45</v>
      </c>
      <c r="M36" s="73" t="s">
        <v>173</v>
      </c>
      <c r="N36" s="71">
        <v>43818</v>
      </c>
      <c r="O36" s="7">
        <f>4063+636</f>
        <v>4699</v>
      </c>
      <c r="P36" s="7">
        <f t="shared" ref="P36:P40" si="68">SUM(N36:O36)</f>
        <v>48517</v>
      </c>
      <c r="Q36" s="6">
        <f>N36*10%</f>
        <v>4381.8</v>
      </c>
      <c r="R36" s="6">
        <f>O36*5%</f>
        <v>234.95000000000002</v>
      </c>
      <c r="S36" s="6">
        <f>SUM(Q36:R36)</f>
        <v>4616.75</v>
      </c>
      <c r="T36" s="7">
        <f t="shared" ref="T36:V40" si="69">N36-Q36</f>
        <v>39436.199999999997</v>
      </c>
      <c r="U36" s="6">
        <f t="shared" si="69"/>
        <v>4464.05</v>
      </c>
      <c r="V36" s="6">
        <f t="shared" si="69"/>
        <v>43900.25</v>
      </c>
      <c r="W36" s="189">
        <v>179</v>
      </c>
      <c r="X36" s="8">
        <f t="shared" ref="X36:X40" si="70">T36</f>
        <v>39436.199999999997</v>
      </c>
      <c r="Y36" s="7">
        <f t="shared" ref="Y36:Y40" si="71">U36-W36</f>
        <v>4285.05</v>
      </c>
      <c r="Z36" s="7">
        <f t="shared" ref="Z36:Z40" si="72">X36+Y36</f>
        <v>43721.25</v>
      </c>
      <c r="AA36" s="7">
        <f t="shared" ref="AA36:AA41" si="73">L36-Z36</f>
        <v>2958.1999999999971</v>
      </c>
      <c r="AB36" s="190" t="s">
        <v>173</v>
      </c>
      <c r="AC36" s="8">
        <v>32586</v>
      </c>
      <c r="AD36" s="7">
        <v>13368</v>
      </c>
      <c r="AE36" s="6">
        <f t="shared" ref="AE36:AE39" si="74">SUM(AC36:AD36)</f>
        <v>45954</v>
      </c>
      <c r="AF36" s="161">
        <v>1039</v>
      </c>
      <c r="AG36" s="22">
        <v>3259</v>
      </c>
      <c r="AH36" s="6">
        <v>616</v>
      </c>
      <c r="AI36" s="6">
        <f>SUM(AG36:AH36)</f>
        <v>3875</v>
      </c>
      <c r="AJ36" s="7">
        <f t="shared" ref="AJ36:AL39" si="75">AC36-AG36</f>
        <v>29327</v>
      </c>
      <c r="AK36" s="6">
        <f>AD36-AH36-AF36</f>
        <v>11713</v>
      </c>
      <c r="AL36" s="6">
        <f>AE36-AI36-AF36</f>
        <v>41040</v>
      </c>
      <c r="AM36" s="6">
        <f t="shared" ref="AM36:AM40" si="76">V36-AL36</f>
        <v>2860.25</v>
      </c>
      <c r="AN36" s="191" t="s">
        <v>173</v>
      </c>
      <c r="AO36" s="8">
        <v>25139</v>
      </c>
      <c r="AP36" s="7">
        <v>21053</v>
      </c>
      <c r="AQ36" s="7">
        <f t="shared" ref="AQ36:AQ39" si="77">SUM(AO36:AP36)</f>
        <v>46192</v>
      </c>
      <c r="AR36" s="6">
        <f>AO36*10%</f>
        <v>2513.9</v>
      </c>
      <c r="AS36" s="6">
        <f>AP36*5%</f>
        <v>1052.6500000000001</v>
      </c>
      <c r="AT36" s="6">
        <f>SUM(AR36:AS36)</f>
        <v>3566.55</v>
      </c>
      <c r="AU36" s="71">
        <f t="shared" ref="AU36:AW39" si="78">AO36-AR36</f>
        <v>22625.1</v>
      </c>
      <c r="AV36" s="6">
        <f t="shared" si="78"/>
        <v>20000.349999999999</v>
      </c>
      <c r="AW36" s="6">
        <f t="shared" si="78"/>
        <v>42625.45</v>
      </c>
      <c r="AX36" s="17">
        <f t="shared" si="64"/>
        <v>-1585.4499999999971</v>
      </c>
      <c r="AY36" s="327"/>
      <c r="AZ36" s="8">
        <v>28033</v>
      </c>
      <c r="BA36" s="7">
        <v>11693</v>
      </c>
      <c r="BB36" s="7">
        <f t="shared" si="65"/>
        <v>39726</v>
      </c>
      <c r="BC36" s="6">
        <v>2803</v>
      </c>
      <c r="BD36" s="6">
        <v>585</v>
      </c>
      <c r="BE36" s="6">
        <f>SUM(BC36:BD36)</f>
        <v>3388</v>
      </c>
      <c r="BF36" s="7">
        <f t="shared" si="18"/>
        <v>25230</v>
      </c>
      <c r="BG36" s="6">
        <f t="shared" si="18"/>
        <v>11108</v>
      </c>
      <c r="BH36" s="6">
        <f t="shared" si="18"/>
        <v>36338</v>
      </c>
      <c r="BI36" s="322"/>
      <c r="BJ36" s="163">
        <v>11178</v>
      </c>
      <c r="BK36" s="164">
        <v>17935</v>
      </c>
      <c r="BL36" s="164">
        <f>SUM(BJ36:BK36)</f>
        <v>29113</v>
      </c>
      <c r="BM36" s="165">
        <v>1242</v>
      </c>
      <c r="BN36" s="165">
        <v>944</v>
      </c>
      <c r="BO36" s="165">
        <f>SUM(BM36:BN36)</f>
        <v>2186</v>
      </c>
      <c r="BP36" s="6">
        <f t="shared" si="4"/>
        <v>12420</v>
      </c>
      <c r="BQ36" s="6">
        <f t="shared" si="4"/>
        <v>18879</v>
      </c>
      <c r="BR36" s="6">
        <f t="shared" si="4"/>
        <v>31299</v>
      </c>
      <c r="BS36" s="166"/>
      <c r="BT36" s="2"/>
      <c r="BU36" s="2"/>
    </row>
    <row r="37" spans="1:74" ht="35.1" customHeight="1" x14ac:dyDescent="0.25">
      <c r="A37" s="11" t="s">
        <v>172</v>
      </c>
      <c r="B37" s="12" t="s">
        <v>15</v>
      </c>
      <c r="C37" s="70" t="s">
        <v>14</v>
      </c>
      <c r="D37" s="71">
        <v>180825</v>
      </c>
      <c r="E37" s="7">
        <v>0</v>
      </c>
      <c r="F37" s="7">
        <f t="shared" si="66"/>
        <v>180825</v>
      </c>
      <c r="G37" s="6"/>
      <c r="H37" s="6"/>
      <c r="I37" s="6"/>
      <c r="J37" s="7">
        <f t="shared" si="67"/>
        <v>180825</v>
      </c>
      <c r="K37" s="6">
        <f t="shared" si="67"/>
        <v>0</v>
      </c>
      <c r="L37" s="6">
        <f t="shared" si="67"/>
        <v>180825</v>
      </c>
      <c r="M37" s="72"/>
      <c r="N37" s="71">
        <v>184727</v>
      </c>
      <c r="O37" s="7">
        <v>0</v>
      </c>
      <c r="P37" s="7">
        <f t="shared" si="68"/>
        <v>184727</v>
      </c>
      <c r="Q37" s="6"/>
      <c r="R37" s="6"/>
      <c r="S37" s="6"/>
      <c r="T37" s="7">
        <f t="shared" si="69"/>
        <v>184727</v>
      </c>
      <c r="U37" s="6">
        <f t="shared" si="69"/>
        <v>0</v>
      </c>
      <c r="V37" s="6">
        <f t="shared" si="69"/>
        <v>184727</v>
      </c>
      <c r="W37" s="160"/>
      <c r="X37" s="8">
        <f t="shared" si="70"/>
        <v>184727</v>
      </c>
      <c r="Y37" s="7">
        <f t="shared" si="71"/>
        <v>0</v>
      </c>
      <c r="Z37" s="7">
        <f t="shared" si="72"/>
        <v>184727</v>
      </c>
      <c r="AA37" s="7">
        <f t="shared" si="73"/>
        <v>-3902</v>
      </c>
      <c r="AB37" s="72"/>
      <c r="AC37" s="8">
        <v>197523</v>
      </c>
      <c r="AD37" s="7">
        <v>0</v>
      </c>
      <c r="AE37" s="6">
        <f t="shared" si="74"/>
        <v>197523</v>
      </c>
      <c r="AF37" s="161"/>
      <c r="AG37" s="22"/>
      <c r="AH37" s="6"/>
      <c r="AI37" s="6"/>
      <c r="AJ37" s="7">
        <f t="shared" si="75"/>
        <v>197523</v>
      </c>
      <c r="AK37" s="6">
        <f t="shared" si="75"/>
        <v>0</v>
      </c>
      <c r="AL37" s="6">
        <f t="shared" si="75"/>
        <v>197523</v>
      </c>
      <c r="AM37" s="6">
        <f t="shared" si="76"/>
        <v>-12796</v>
      </c>
      <c r="AN37" s="72"/>
      <c r="AO37" s="8">
        <v>197523</v>
      </c>
      <c r="AP37" s="7">
        <v>0</v>
      </c>
      <c r="AQ37" s="7">
        <f t="shared" si="77"/>
        <v>197523</v>
      </c>
      <c r="AR37" s="6"/>
      <c r="AS37" s="6"/>
      <c r="AT37" s="6"/>
      <c r="AU37" s="71">
        <f t="shared" si="78"/>
        <v>197523</v>
      </c>
      <c r="AV37" s="6">
        <f t="shared" si="78"/>
        <v>0</v>
      </c>
      <c r="AW37" s="6">
        <f t="shared" si="78"/>
        <v>197523</v>
      </c>
      <c r="AX37" s="17">
        <f t="shared" si="64"/>
        <v>0</v>
      </c>
      <c r="AY37" s="73" t="s">
        <v>278</v>
      </c>
      <c r="AZ37" s="8">
        <v>193481</v>
      </c>
      <c r="BA37" s="7">
        <v>0</v>
      </c>
      <c r="BB37" s="7">
        <f t="shared" si="65"/>
        <v>193481</v>
      </c>
      <c r="BC37" s="6"/>
      <c r="BD37" s="6"/>
      <c r="BE37" s="6"/>
      <c r="BF37" s="7">
        <f t="shared" si="18"/>
        <v>193481</v>
      </c>
      <c r="BG37" s="6">
        <f t="shared" si="18"/>
        <v>0</v>
      </c>
      <c r="BH37" s="6">
        <f t="shared" si="18"/>
        <v>193481</v>
      </c>
      <c r="BI37" s="162" t="s">
        <v>279</v>
      </c>
      <c r="BJ37" s="163">
        <v>178000</v>
      </c>
      <c r="BK37" s="164">
        <v>0</v>
      </c>
      <c r="BL37" s="164">
        <f>SUM(BJ37:BK37)</f>
        <v>178000</v>
      </c>
      <c r="BM37" s="165"/>
      <c r="BN37" s="165"/>
      <c r="BO37" s="165"/>
      <c r="BP37" s="6">
        <f t="shared" si="4"/>
        <v>178000</v>
      </c>
      <c r="BQ37" s="6">
        <f t="shared" si="4"/>
        <v>0</v>
      </c>
      <c r="BR37" s="6">
        <f t="shared" si="4"/>
        <v>178000</v>
      </c>
      <c r="BS37" s="166"/>
      <c r="BT37" s="2"/>
      <c r="BU37" s="2"/>
      <c r="BV37" s="23"/>
    </row>
    <row r="38" spans="1:74" ht="35.1" customHeight="1" x14ac:dyDescent="0.25">
      <c r="A38" s="11" t="s">
        <v>172</v>
      </c>
      <c r="B38" s="12" t="s">
        <v>87</v>
      </c>
      <c r="C38" s="70" t="s">
        <v>14</v>
      </c>
      <c r="D38" s="71">
        <v>3312</v>
      </c>
      <c r="E38" s="7">
        <v>0</v>
      </c>
      <c r="F38" s="7">
        <f t="shared" si="66"/>
        <v>3312</v>
      </c>
      <c r="G38" s="6"/>
      <c r="H38" s="6"/>
      <c r="I38" s="6"/>
      <c r="J38" s="7">
        <f t="shared" si="67"/>
        <v>3312</v>
      </c>
      <c r="K38" s="6">
        <f t="shared" si="67"/>
        <v>0</v>
      </c>
      <c r="L38" s="6">
        <f t="shared" si="67"/>
        <v>3312</v>
      </c>
      <c r="M38" s="72"/>
      <c r="N38" s="71">
        <v>3312</v>
      </c>
      <c r="O38" s="7">
        <v>0</v>
      </c>
      <c r="P38" s="7">
        <f t="shared" si="68"/>
        <v>3312</v>
      </c>
      <c r="Q38" s="6"/>
      <c r="R38" s="6"/>
      <c r="S38" s="6"/>
      <c r="T38" s="7">
        <f t="shared" si="69"/>
        <v>3312</v>
      </c>
      <c r="U38" s="6">
        <f t="shared" si="69"/>
        <v>0</v>
      </c>
      <c r="V38" s="6">
        <f t="shared" si="69"/>
        <v>3312</v>
      </c>
      <c r="W38" s="160"/>
      <c r="X38" s="8">
        <f t="shared" si="70"/>
        <v>3312</v>
      </c>
      <c r="Y38" s="7">
        <f t="shared" si="71"/>
        <v>0</v>
      </c>
      <c r="Z38" s="7">
        <f t="shared" si="72"/>
        <v>3312</v>
      </c>
      <c r="AA38" s="7">
        <f t="shared" si="73"/>
        <v>0</v>
      </c>
      <c r="AB38" s="72"/>
      <c r="AC38" s="8">
        <v>3312</v>
      </c>
      <c r="AD38" s="7">
        <v>0</v>
      </c>
      <c r="AE38" s="6">
        <f t="shared" si="74"/>
        <v>3312</v>
      </c>
      <c r="AF38" s="161"/>
      <c r="AG38" s="22"/>
      <c r="AH38" s="6"/>
      <c r="AI38" s="6"/>
      <c r="AJ38" s="7">
        <f t="shared" si="75"/>
        <v>3312</v>
      </c>
      <c r="AK38" s="6">
        <f t="shared" si="75"/>
        <v>0</v>
      </c>
      <c r="AL38" s="6">
        <f t="shared" si="75"/>
        <v>3312</v>
      </c>
      <c r="AM38" s="6">
        <f t="shared" si="76"/>
        <v>0</v>
      </c>
      <c r="AN38" s="72"/>
      <c r="AO38" s="8">
        <v>3312</v>
      </c>
      <c r="AP38" s="7">
        <v>0</v>
      </c>
      <c r="AQ38" s="7">
        <f t="shared" si="77"/>
        <v>3312</v>
      </c>
      <c r="AR38" s="6"/>
      <c r="AS38" s="6"/>
      <c r="AT38" s="6"/>
      <c r="AU38" s="71">
        <f t="shared" si="78"/>
        <v>3312</v>
      </c>
      <c r="AV38" s="6">
        <f t="shared" si="78"/>
        <v>0</v>
      </c>
      <c r="AW38" s="6">
        <f t="shared" si="78"/>
        <v>3312</v>
      </c>
      <c r="AX38" s="17">
        <f t="shared" si="64"/>
        <v>0</v>
      </c>
      <c r="AY38" s="73"/>
      <c r="AZ38" s="8">
        <v>3312</v>
      </c>
      <c r="BA38" s="7">
        <v>0</v>
      </c>
      <c r="BB38" s="7">
        <f t="shared" si="65"/>
        <v>3312</v>
      </c>
      <c r="BC38" s="6"/>
      <c r="BD38" s="6"/>
      <c r="BE38" s="6"/>
      <c r="BF38" s="7">
        <f t="shared" si="18"/>
        <v>3312</v>
      </c>
      <c r="BG38" s="6">
        <f t="shared" si="18"/>
        <v>0</v>
      </c>
      <c r="BH38" s="6">
        <f t="shared" si="18"/>
        <v>3312</v>
      </c>
      <c r="BI38" s="162"/>
      <c r="BJ38" s="163">
        <v>3312</v>
      </c>
      <c r="BK38" s="164">
        <v>0</v>
      </c>
      <c r="BL38" s="164">
        <f>SUM(BJ38:BK38)</f>
        <v>3312</v>
      </c>
      <c r="BM38" s="165"/>
      <c r="BN38" s="165"/>
      <c r="BO38" s="165"/>
      <c r="BP38" s="6">
        <f t="shared" si="4"/>
        <v>3312</v>
      </c>
      <c r="BQ38" s="6">
        <f t="shared" si="4"/>
        <v>0</v>
      </c>
      <c r="BR38" s="6">
        <f t="shared" si="4"/>
        <v>3312</v>
      </c>
      <c r="BS38" s="166"/>
      <c r="BT38" s="2"/>
      <c r="BU38" s="2"/>
    </row>
    <row r="39" spans="1:74" ht="69" customHeight="1" x14ac:dyDescent="0.25">
      <c r="A39" s="10" t="s">
        <v>172</v>
      </c>
      <c r="B39" s="9" t="s">
        <v>16</v>
      </c>
      <c r="C39" s="74" t="s">
        <v>14</v>
      </c>
      <c r="D39" s="71">
        <v>1130</v>
      </c>
      <c r="E39" s="7">
        <v>0</v>
      </c>
      <c r="F39" s="7">
        <f t="shared" si="66"/>
        <v>1130</v>
      </c>
      <c r="G39" s="6"/>
      <c r="H39" s="6"/>
      <c r="I39" s="6"/>
      <c r="J39" s="7">
        <f t="shared" si="67"/>
        <v>1130</v>
      </c>
      <c r="K39" s="6">
        <f t="shared" si="67"/>
        <v>0</v>
      </c>
      <c r="L39" s="7">
        <f t="shared" si="67"/>
        <v>1130</v>
      </c>
      <c r="M39" s="96"/>
      <c r="N39" s="71">
        <v>4490</v>
      </c>
      <c r="O39" s="7">
        <v>0</v>
      </c>
      <c r="P39" s="7">
        <f t="shared" si="68"/>
        <v>4490</v>
      </c>
      <c r="Q39" s="6"/>
      <c r="R39" s="6"/>
      <c r="S39" s="6"/>
      <c r="T39" s="7">
        <f t="shared" si="69"/>
        <v>4490</v>
      </c>
      <c r="U39" s="6">
        <f t="shared" si="69"/>
        <v>0</v>
      </c>
      <c r="V39" s="6">
        <f t="shared" si="69"/>
        <v>4490</v>
      </c>
      <c r="W39" s="160"/>
      <c r="X39" s="8">
        <f t="shared" si="70"/>
        <v>4490</v>
      </c>
      <c r="Y39" s="7">
        <f t="shared" si="71"/>
        <v>0</v>
      </c>
      <c r="Z39" s="7">
        <f t="shared" si="72"/>
        <v>4490</v>
      </c>
      <c r="AA39" s="7">
        <f t="shared" si="73"/>
        <v>-3360</v>
      </c>
      <c r="AB39" s="72"/>
      <c r="AC39" s="8">
        <v>4490</v>
      </c>
      <c r="AD39" s="7">
        <v>0</v>
      </c>
      <c r="AE39" s="6">
        <f t="shared" si="74"/>
        <v>4490</v>
      </c>
      <c r="AF39" s="161"/>
      <c r="AG39" s="22"/>
      <c r="AH39" s="6"/>
      <c r="AI39" s="6"/>
      <c r="AJ39" s="7">
        <f t="shared" si="75"/>
        <v>4490</v>
      </c>
      <c r="AK39" s="6">
        <f t="shared" si="75"/>
        <v>0</v>
      </c>
      <c r="AL39" s="6">
        <f t="shared" si="75"/>
        <v>4490</v>
      </c>
      <c r="AM39" s="6">
        <f t="shared" si="76"/>
        <v>0</v>
      </c>
      <c r="AN39" s="72"/>
      <c r="AO39" s="8">
        <v>4490</v>
      </c>
      <c r="AP39" s="7">
        <v>0</v>
      </c>
      <c r="AQ39" s="7">
        <f t="shared" si="77"/>
        <v>4490</v>
      </c>
      <c r="AR39" s="6"/>
      <c r="AS39" s="6"/>
      <c r="AT39" s="6"/>
      <c r="AU39" s="71">
        <f t="shared" si="78"/>
        <v>4490</v>
      </c>
      <c r="AV39" s="6">
        <f t="shared" si="78"/>
        <v>0</v>
      </c>
      <c r="AW39" s="6">
        <f t="shared" si="78"/>
        <v>4490</v>
      </c>
      <c r="AX39" s="17">
        <f t="shared" si="64"/>
        <v>0</v>
      </c>
      <c r="AY39" s="73"/>
      <c r="AZ39" s="8">
        <f>4554-64</f>
        <v>4490</v>
      </c>
      <c r="BA39" s="7">
        <v>0</v>
      </c>
      <c r="BB39" s="7">
        <f t="shared" si="65"/>
        <v>4490</v>
      </c>
      <c r="BC39" s="6"/>
      <c r="BD39" s="6"/>
      <c r="BE39" s="6"/>
      <c r="BF39" s="7">
        <f t="shared" si="18"/>
        <v>4490</v>
      </c>
      <c r="BG39" s="6">
        <f t="shared" si="18"/>
        <v>0</v>
      </c>
      <c r="BH39" s="6">
        <f t="shared" si="18"/>
        <v>4490</v>
      </c>
      <c r="BI39" s="162" t="s">
        <v>280</v>
      </c>
      <c r="BJ39" s="163">
        <v>4554</v>
      </c>
      <c r="BK39" s="164">
        <v>0</v>
      </c>
      <c r="BL39" s="164">
        <f>SUM(BJ39:BK39)</f>
        <v>4554</v>
      </c>
      <c r="BM39" s="165"/>
      <c r="BN39" s="165"/>
      <c r="BO39" s="165"/>
      <c r="BP39" s="6">
        <f t="shared" si="4"/>
        <v>4554</v>
      </c>
      <c r="BQ39" s="6">
        <f t="shared" si="4"/>
        <v>0</v>
      </c>
      <c r="BR39" s="6">
        <f t="shared" si="4"/>
        <v>4554</v>
      </c>
      <c r="BS39" s="166"/>
      <c r="BT39" s="2"/>
      <c r="BU39" s="2"/>
    </row>
    <row r="40" spans="1:74" ht="163.5" customHeight="1" x14ac:dyDescent="0.25">
      <c r="A40" s="102" t="s">
        <v>135</v>
      </c>
      <c r="B40" s="9" t="s">
        <v>339</v>
      </c>
      <c r="C40" s="74" t="s">
        <v>14</v>
      </c>
      <c r="D40" s="71">
        <v>0</v>
      </c>
      <c r="E40" s="8">
        <v>29606</v>
      </c>
      <c r="F40" s="7">
        <f t="shared" si="66"/>
        <v>29606</v>
      </c>
      <c r="G40" s="8"/>
      <c r="H40" s="8"/>
      <c r="I40" s="8"/>
      <c r="J40" s="8">
        <f>D40-G40</f>
        <v>0</v>
      </c>
      <c r="K40" s="8">
        <f t="shared" si="67"/>
        <v>29606</v>
      </c>
      <c r="L40" s="7">
        <f t="shared" si="67"/>
        <v>29606</v>
      </c>
      <c r="M40" s="274" t="s">
        <v>361</v>
      </c>
      <c r="N40" s="71"/>
      <c r="O40" s="8">
        <v>19000</v>
      </c>
      <c r="P40" s="7">
        <f t="shared" si="68"/>
        <v>19000</v>
      </c>
      <c r="Q40" s="8"/>
      <c r="R40" s="8"/>
      <c r="S40" s="8"/>
      <c r="T40" s="8">
        <f t="shared" si="69"/>
        <v>0</v>
      </c>
      <c r="U40" s="8">
        <f t="shared" si="69"/>
        <v>19000</v>
      </c>
      <c r="V40" s="6">
        <f t="shared" si="69"/>
        <v>19000</v>
      </c>
      <c r="W40" s="160"/>
      <c r="X40" s="8">
        <f t="shared" si="70"/>
        <v>0</v>
      </c>
      <c r="Y40" s="7">
        <f t="shared" si="71"/>
        <v>19000</v>
      </c>
      <c r="Z40" s="7">
        <f t="shared" si="72"/>
        <v>19000</v>
      </c>
      <c r="AA40" s="7">
        <f t="shared" si="73"/>
        <v>10606</v>
      </c>
      <c r="AB40" s="73" t="s">
        <v>281</v>
      </c>
      <c r="AC40" s="8"/>
      <c r="AD40" s="8"/>
      <c r="AE40" s="6"/>
      <c r="AF40" s="161"/>
      <c r="AG40" s="8"/>
      <c r="AH40" s="8"/>
      <c r="AI40" s="8"/>
      <c r="AJ40" s="8"/>
      <c r="AK40" s="8"/>
      <c r="AL40" s="8"/>
      <c r="AM40" s="6">
        <f t="shared" si="76"/>
        <v>19000</v>
      </c>
      <c r="AN40" s="72"/>
      <c r="AO40" s="8"/>
      <c r="AP40" s="8"/>
      <c r="AQ40" s="8"/>
      <c r="AR40" s="8"/>
      <c r="AS40" s="8"/>
      <c r="AT40" s="22"/>
      <c r="AU40" s="71"/>
      <c r="AV40" s="8"/>
      <c r="AW40" s="8"/>
      <c r="AX40" s="21"/>
      <c r="AY40" s="78"/>
      <c r="AZ40" s="8"/>
      <c r="BA40" s="8"/>
      <c r="BB40" s="8"/>
      <c r="BC40" s="22"/>
      <c r="BD40" s="8"/>
      <c r="BE40" s="8"/>
      <c r="BF40" s="8"/>
      <c r="BG40" s="8"/>
      <c r="BH40" s="8"/>
      <c r="BI40" s="162"/>
      <c r="BJ40" s="163"/>
      <c r="BK40" s="163"/>
      <c r="BL40" s="163"/>
      <c r="BM40" s="192"/>
      <c r="BN40" s="163"/>
      <c r="BO40" s="163"/>
      <c r="BP40" s="8"/>
      <c r="BQ40" s="8"/>
      <c r="BR40" s="22"/>
      <c r="BS40" s="166"/>
      <c r="BT40" s="2"/>
      <c r="BU40" s="2"/>
    </row>
    <row r="41" spans="1:74" ht="187.5" customHeight="1" x14ac:dyDescent="0.25">
      <c r="A41" s="102" t="s">
        <v>135</v>
      </c>
      <c r="B41" s="9" t="s">
        <v>340</v>
      </c>
      <c r="C41" s="74" t="s">
        <v>14</v>
      </c>
      <c r="D41" s="71">
        <v>32644</v>
      </c>
      <c r="E41" s="8">
        <v>2000</v>
      </c>
      <c r="F41" s="7">
        <f t="shared" si="66"/>
        <v>34644</v>
      </c>
      <c r="G41" s="8"/>
      <c r="H41" s="8"/>
      <c r="I41" s="8"/>
      <c r="J41" s="8">
        <f>D41-G41</f>
        <v>32644</v>
      </c>
      <c r="K41" s="8">
        <f t="shared" si="67"/>
        <v>2000</v>
      </c>
      <c r="L41" s="7">
        <f t="shared" si="67"/>
        <v>34644</v>
      </c>
      <c r="M41" s="273" t="s">
        <v>362</v>
      </c>
      <c r="N41" s="71"/>
      <c r="O41" s="8"/>
      <c r="P41" s="7"/>
      <c r="Q41" s="8"/>
      <c r="R41" s="8"/>
      <c r="S41" s="8"/>
      <c r="T41" s="8"/>
      <c r="U41" s="8"/>
      <c r="V41" s="22"/>
      <c r="W41" s="160"/>
      <c r="X41" s="8"/>
      <c r="Y41" s="7"/>
      <c r="Z41" s="7"/>
      <c r="AA41" s="7">
        <f t="shared" si="73"/>
        <v>34644</v>
      </c>
      <c r="AB41" s="101"/>
      <c r="AC41" s="8"/>
      <c r="AD41" s="8"/>
      <c r="AE41" s="6"/>
      <c r="AF41" s="161"/>
      <c r="AG41" s="8"/>
      <c r="AH41" s="8"/>
      <c r="AI41" s="8"/>
      <c r="AJ41" s="8"/>
      <c r="AK41" s="8"/>
      <c r="AL41" s="8"/>
      <c r="AM41" s="6"/>
      <c r="AN41" s="96"/>
      <c r="AO41" s="8"/>
      <c r="AP41" s="8"/>
      <c r="AQ41" s="8"/>
      <c r="AR41" s="8"/>
      <c r="AS41" s="8"/>
      <c r="AT41" s="22"/>
      <c r="AU41" s="71"/>
      <c r="AV41" s="8"/>
      <c r="AW41" s="8"/>
      <c r="AX41" s="21"/>
      <c r="AY41" s="78"/>
      <c r="AZ41" s="8"/>
      <c r="BA41" s="8"/>
      <c r="BB41" s="8"/>
      <c r="BC41" s="22"/>
      <c r="BD41" s="8"/>
      <c r="BE41" s="8"/>
      <c r="BF41" s="8"/>
      <c r="BG41" s="8"/>
      <c r="BH41" s="8"/>
      <c r="BI41" s="162"/>
      <c r="BJ41" s="163"/>
      <c r="BK41" s="163"/>
      <c r="BL41" s="163"/>
      <c r="BM41" s="192"/>
      <c r="BN41" s="163"/>
      <c r="BO41" s="163"/>
      <c r="BP41" s="8"/>
      <c r="BQ41" s="8"/>
      <c r="BR41" s="22"/>
      <c r="BS41" s="166"/>
      <c r="BT41" s="2"/>
      <c r="BU41" s="2"/>
    </row>
    <row r="42" spans="1:74" ht="175.5" customHeight="1" x14ac:dyDescent="0.25">
      <c r="A42" s="102" t="s">
        <v>135</v>
      </c>
      <c r="B42" s="9" t="s">
        <v>341</v>
      </c>
      <c r="C42" s="74" t="s">
        <v>14</v>
      </c>
      <c r="D42" s="71">
        <v>0</v>
      </c>
      <c r="E42" s="8">
        <v>26153</v>
      </c>
      <c r="F42" s="7">
        <f>SUM(D42:E42)</f>
        <v>26153</v>
      </c>
      <c r="G42" s="8"/>
      <c r="H42" s="8"/>
      <c r="I42" s="8"/>
      <c r="J42" s="8">
        <f>D42-G42</f>
        <v>0</v>
      </c>
      <c r="K42" s="8">
        <f t="shared" si="67"/>
        <v>26153</v>
      </c>
      <c r="L42" s="7">
        <f t="shared" si="67"/>
        <v>26153</v>
      </c>
      <c r="M42" s="273" t="s">
        <v>363</v>
      </c>
      <c r="N42" s="71"/>
      <c r="O42" s="8"/>
      <c r="P42" s="7"/>
      <c r="Q42" s="8"/>
      <c r="R42" s="8"/>
      <c r="S42" s="8"/>
      <c r="T42" s="8"/>
      <c r="U42" s="8"/>
      <c r="V42" s="22"/>
      <c r="W42" s="160"/>
      <c r="X42" s="8"/>
      <c r="Y42" s="7"/>
      <c r="Z42" s="7"/>
      <c r="AA42" s="7"/>
      <c r="AB42" s="101"/>
      <c r="AC42" s="8"/>
      <c r="AD42" s="8"/>
      <c r="AE42" s="6"/>
      <c r="AF42" s="161"/>
      <c r="AG42" s="8"/>
      <c r="AH42" s="8"/>
      <c r="AI42" s="8"/>
      <c r="AJ42" s="8"/>
      <c r="AK42" s="8"/>
      <c r="AL42" s="8"/>
      <c r="AM42" s="6"/>
      <c r="AN42" s="96"/>
      <c r="AO42" s="8"/>
      <c r="AP42" s="8"/>
      <c r="AQ42" s="8"/>
      <c r="AR42" s="8"/>
      <c r="AS42" s="8"/>
      <c r="AT42" s="22"/>
      <c r="AU42" s="71"/>
      <c r="AV42" s="8"/>
      <c r="AW42" s="8"/>
      <c r="AX42" s="21"/>
      <c r="AY42" s="78"/>
      <c r="AZ42" s="8"/>
      <c r="BA42" s="8"/>
      <c r="BB42" s="8"/>
      <c r="BC42" s="22"/>
      <c r="BD42" s="8"/>
      <c r="BE42" s="8"/>
      <c r="BF42" s="8"/>
      <c r="BG42" s="8"/>
      <c r="BH42" s="8"/>
      <c r="BI42" s="162"/>
      <c r="BJ42" s="163"/>
      <c r="BK42" s="163"/>
      <c r="BL42" s="163"/>
      <c r="BM42" s="192"/>
      <c r="BN42" s="163"/>
      <c r="BO42" s="163"/>
      <c r="BP42" s="8"/>
      <c r="BQ42" s="8"/>
      <c r="BR42" s="22"/>
      <c r="BS42" s="166"/>
      <c r="BT42" s="2"/>
      <c r="BU42" s="2"/>
    </row>
    <row r="43" spans="1:74" ht="112.5" customHeight="1" x14ac:dyDescent="0.25">
      <c r="A43" s="102" t="s">
        <v>135</v>
      </c>
      <c r="B43" s="9" t="s">
        <v>342</v>
      </c>
      <c r="C43" s="74" t="s">
        <v>14</v>
      </c>
      <c r="D43" s="71">
        <v>0</v>
      </c>
      <c r="E43" s="8">
        <v>4080</v>
      </c>
      <c r="F43" s="7">
        <f>SUM(D43:E43)</f>
        <v>4080</v>
      </c>
      <c r="G43" s="8"/>
      <c r="H43" s="8"/>
      <c r="I43" s="8"/>
      <c r="J43" s="8">
        <f>D43-G43</f>
        <v>0</v>
      </c>
      <c r="K43" s="8">
        <f t="shared" si="67"/>
        <v>4080</v>
      </c>
      <c r="L43" s="7">
        <f t="shared" si="67"/>
        <v>4080</v>
      </c>
      <c r="M43" s="273" t="s">
        <v>364</v>
      </c>
      <c r="N43" s="71"/>
      <c r="O43" s="8"/>
      <c r="P43" s="7"/>
      <c r="Q43" s="8"/>
      <c r="R43" s="8"/>
      <c r="S43" s="8"/>
      <c r="T43" s="8"/>
      <c r="U43" s="8"/>
      <c r="V43" s="22"/>
      <c r="W43" s="160"/>
      <c r="X43" s="8"/>
      <c r="Y43" s="7"/>
      <c r="Z43" s="7"/>
      <c r="AA43" s="7"/>
      <c r="AB43" s="101"/>
      <c r="AC43" s="8"/>
      <c r="AD43" s="8"/>
      <c r="AE43" s="6"/>
      <c r="AF43" s="161"/>
      <c r="AG43" s="8"/>
      <c r="AH43" s="8"/>
      <c r="AI43" s="8"/>
      <c r="AJ43" s="8"/>
      <c r="AK43" s="8"/>
      <c r="AL43" s="8"/>
      <c r="AM43" s="6"/>
      <c r="AN43" s="96"/>
      <c r="AO43" s="8"/>
      <c r="AP43" s="8"/>
      <c r="AQ43" s="8"/>
      <c r="AR43" s="8"/>
      <c r="AS43" s="8"/>
      <c r="AT43" s="22"/>
      <c r="AU43" s="71"/>
      <c r="AV43" s="8"/>
      <c r="AW43" s="8"/>
      <c r="AX43" s="21"/>
      <c r="AY43" s="78"/>
      <c r="AZ43" s="8"/>
      <c r="BA43" s="8"/>
      <c r="BB43" s="8"/>
      <c r="BC43" s="22"/>
      <c r="BD43" s="8"/>
      <c r="BE43" s="8"/>
      <c r="BF43" s="8"/>
      <c r="BG43" s="8"/>
      <c r="BH43" s="8"/>
      <c r="BI43" s="162"/>
      <c r="BJ43" s="163"/>
      <c r="BK43" s="163"/>
      <c r="BL43" s="163"/>
      <c r="BM43" s="192"/>
      <c r="BN43" s="163"/>
      <c r="BO43" s="163"/>
      <c r="BP43" s="8"/>
      <c r="BQ43" s="8"/>
      <c r="BR43" s="22"/>
      <c r="BS43" s="166"/>
      <c r="BT43" s="2"/>
      <c r="BU43" s="2"/>
    </row>
    <row r="44" spans="1:74" ht="139.5" customHeight="1" x14ac:dyDescent="0.25">
      <c r="A44" s="102" t="s">
        <v>135</v>
      </c>
      <c r="B44" s="9" t="s">
        <v>343</v>
      </c>
      <c r="C44" s="74" t="s">
        <v>14</v>
      </c>
      <c r="D44" s="71">
        <v>0</v>
      </c>
      <c r="E44" s="8">
        <v>30000</v>
      </c>
      <c r="F44" s="7">
        <f>SUM(D44:E44)</f>
        <v>30000</v>
      </c>
      <c r="G44" s="8"/>
      <c r="H44" s="8"/>
      <c r="I44" s="8"/>
      <c r="J44" s="8">
        <f t="shared" ref="J44:J50" si="79">D44-G44</f>
        <v>0</v>
      </c>
      <c r="K44" s="8">
        <f t="shared" si="67"/>
        <v>30000</v>
      </c>
      <c r="L44" s="7">
        <f t="shared" si="67"/>
        <v>30000</v>
      </c>
      <c r="M44" s="273" t="s">
        <v>365</v>
      </c>
      <c r="N44" s="71"/>
      <c r="O44" s="8"/>
      <c r="P44" s="7"/>
      <c r="Q44" s="8"/>
      <c r="R44" s="8"/>
      <c r="S44" s="8"/>
      <c r="T44" s="8"/>
      <c r="U44" s="8"/>
      <c r="V44" s="22"/>
      <c r="W44" s="160"/>
      <c r="X44" s="8"/>
      <c r="Y44" s="7"/>
      <c r="Z44" s="7"/>
      <c r="AA44" s="7"/>
      <c r="AB44" s="101"/>
      <c r="AC44" s="8"/>
      <c r="AD44" s="8"/>
      <c r="AE44" s="6"/>
      <c r="AF44" s="161"/>
      <c r="AG44" s="8"/>
      <c r="AH44" s="8"/>
      <c r="AI44" s="8"/>
      <c r="AJ44" s="8"/>
      <c r="AK44" s="8"/>
      <c r="AL44" s="8"/>
      <c r="AM44" s="6"/>
      <c r="AN44" s="96"/>
      <c r="AO44" s="8"/>
      <c r="AP44" s="8"/>
      <c r="AQ44" s="8"/>
      <c r="AR44" s="8"/>
      <c r="AS44" s="8"/>
      <c r="AT44" s="22"/>
      <c r="AU44" s="71"/>
      <c r="AV44" s="8"/>
      <c r="AW44" s="8"/>
      <c r="AX44" s="21"/>
      <c r="AY44" s="78"/>
      <c r="AZ44" s="8"/>
      <c r="BA44" s="8"/>
      <c r="BB44" s="8"/>
      <c r="BC44" s="22"/>
      <c r="BD44" s="8"/>
      <c r="BE44" s="8"/>
      <c r="BF44" s="8"/>
      <c r="BG44" s="8"/>
      <c r="BH44" s="8"/>
      <c r="BI44" s="162"/>
      <c r="BJ44" s="163"/>
      <c r="BK44" s="163"/>
      <c r="BL44" s="163"/>
      <c r="BM44" s="192"/>
      <c r="BN44" s="163"/>
      <c r="BO44" s="163"/>
      <c r="BP44" s="8"/>
      <c r="BQ44" s="8"/>
      <c r="BR44" s="22"/>
      <c r="BS44" s="166"/>
      <c r="BT44" s="2"/>
      <c r="BU44" s="2"/>
    </row>
    <row r="45" spans="1:74" ht="126.75" customHeight="1" x14ac:dyDescent="0.25">
      <c r="A45" s="102" t="s">
        <v>135</v>
      </c>
      <c r="B45" s="9" t="s">
        <v>344</v>
      </c>
      <c r="C45" s="74" t="s">
        <v>14</v>
      </c>
      <c r="D45" s="71">
        <v>0</v>
      </c>
      <c r="E45" s="8">
        <v>6695</v>
      </c>
      <c r="F45" s="7">
        <f t="shared" ref="F45:F50" si="80">SUM(D45:E45)</f>
        <v>6695</v>
      </c>
      <c r="G45" s="8"/>
      <c r="H45" s="8"/>
      <c r="I45" s="8"/>
      <c r="J45" s="8">
        <f t="shared" si="79"/>
        <v>0</v>
      </c>
      <c r="K45" s="8">
        <f t="shared" si="67"/>
        <v>6695</v>
      </c>
      <c r="L45" s="7">
        <f t="shared" si="67"/>
        <v>6695</v>
      </c>
      <c r="M45" s="273" t="s">
        <v>366</v>
      </c>
      <c r="N45" s="71"/>
      <c r="O45" s="8"/>
      <c r="P45" s="7"/>
      <c r="Q45" s="8"/>
      <c r="R45" s="8"/>
      <c r="S45" s="8"/>
      <c r="T45" s="8"/>
      <c r="U45" s="8"/>
      <c r="V45" s="22"/>
      <c r="W45" s="160"/>
      <c r="X45" s="8"/>
      <c r="Y45" s="7"/>
      <c r="Z45" s="7"/>
      <c r="AA45" s="7"/>
      <c r="AB45" s="101"/>
      <c r="AC45" s="8"/>
      <c r="AD45" s="8"/>
      <c r="AE45" s="6"/>
      <c r="AF45" s="161"/>
      <c r="AG45" s="8"/>
      <c r="AH45" s="8"/>
      <c r="AI45" s="8"/>
      <c r="AJ45" s="8"/>
      <c r="AK45" s="8"/>
      <c r="AL45" s="8"/>
      <c r="AM45" s="6"/>
      <c r="AN45" s="96"/>
      <c r="AO45" s="8"/>
      <c r="AP45" s="8"/>
      <c r="AQ45" s="8"/>
      <c r="AR45" s="8"/>
      <c r="AS45" s="8"/>
      <c r="AT45" s="22"/>
      <c r="AU45" s="71"/>
      <c r="AV45" s="8"/>
      <c r="AW45" s="8"/>
      <c r="AX45" s="21"/>
      <c r="AY45" s="78"/>
      <c r="AZ45" s="8"/>
      <c r="BA45" s="8"/>
      <c r="BB45" s="8"/>
      <c r="BC45" s="22"/>
      <c r="BD45" s="8"/>
      <c r="BE45" s="8"/>
      <c r="BF45" s="8"/>
      <c r="BG45" s="8"/>
      <c r="BH45" s="8"/>
      <c r="BI45" s="162"/>
      <c r="BJ45" s="163"/>
      <c r="BK45" s="163"/>
      <c r="BL45" s="163"/>
      <c r="BM45" s="192"/>
      <c r="BN45" s="163"/>
      <c r="BO45" s="163"/>
      <c r="BP45" s="8"/>
      <c r="BQ45" s="8"/>
      <c r="BR45" s="22"/>
      <c r="BS45" s="166"/>
      <c r="BT45" s="2"/>
      <c r="BU45" s="2"/>
    </row>
    <row r="46" spans="1:74" ht="100.5" customHeight="1" x14ac:dyDescent="0.25">
      <c r="A46" s="102" t="s">
        <v>135</v>
      </c>
      <c r="B46" s="12" t="s">
        <v>367</v>
      </c>
      <c r="C46" s="74" t="s">
        <v>14</v>
      </c>
      <c r="D46" s="71">
        <v>0</v>
      </c>
      <c r="E46" s="8">
        <v>800</v>
      </c>
      <c r="F46" s="7">
        <f t="shared" si="80"/>
        <v>800</v>
      </c>
      <c r="G46" s="8"/>
      <c r="H46" s="8"/>
      <c r="I46" s="8"/>
      <c r="J46" s="8">
        <f t="shared" si="79"/>
        <v>0</v>
      </c>
      <c r="K46" s="8">
        <f t="shared" si="67"/>
        <v>800</v>
      </c>
      <c r="L46" s="7">
        <f t="shared" si="67"/>
        <v>800</v>
      </c>
      <c r="M46" s="282" t="s">
        <v>368</v>
      </c>
      <c r="N46" s="71"/>
      <c r="O46" s="8"/>
      <c r="P46" s="7"/>
      <c r="Q46" s="8"/>
      <c r="R46" s="8"/>
      <c r="S46" s="8"/>
      <c r="T46" s="8"/>
      <c r="U46" s="8"/>
      <c r="V46" s="22"/>
      <c r="W46" s="160"/>
      <c r="X46" s="8"/>
      <c r="Y46" s="7"/>
      <c r="Z46" s="7"/>
      <c r="AA46" s="7"/>
      <c r="AB46" s="101"/>
      <c r="AC46" s="8"/>
      <c r="AD46" s="8"/>
      <c r="AE46" s="6"/>
      <c r="AF46" s="161"/>
      <c r="AG46" s="8"/>
      <c r="AH46" s="8"/>
      <c r="AI46" s="8"/>
      <c r="AJ46" s="8"/>
      <c r="AK46" s="8"/>
      <c r="AL46" s="8"/>
      <c r="AM46" s="6"/>
      <c r="AN46" s="96"/>
      <c r="AO46" s="8"/>
      <c r="AP46" s="8"/>
      <c r="AQ46" s="8"/>
      <c r="AR46" s="8"/>
      <c r="AS46" s="8"/>
      <c r="AT46" s="22"/>
      <c r="AU46" s="71"/>
      <c r="AV46" s="8"/>
      <c r="AW46" s="8"/>
      <c r="AX46" s="21"/>
      <c r="AY46" s="78"/>
      <c r="AZ46" s="8"/>
      <c r="BA46" s="8"/>
      <c r="BB46" s="8"/>
      <c r="BC46" s="22"/>
      <c r="BD46" s="8"/>
      <c r="BE46" s="8"/>
      <c r="BF46" s="8"/>
      <c r="BG46" s="8"/>
      <c r="BH46" s="8"/>
      <c r="BI46" s="162"/>
      <c r="BJ46" s="163"/>
      <c r="BK46" s="163"/>
      <c r="BL46" s="163"/>
      <c r="BM46" s="192"/>
      <c r="BN46" s="163"/>
      <c r="BO46" s="163"/>
      <c r="BP46" s="8"/>
      <c r="BQ46" s="8"/>
      <c r="BR46" s="22"/>
      <c r="BS46" s="166"/>
      <c r="BT46" s="2"/>
      <c r="BU46" s="2"/>
    </row>
    <row r="47" spans="1:74" ht="100.5" customHeight="1" x14ac:dyDescent="0.25">
      <c r="A47" s="102" t="s">
        <v>135</v>
      </c>
      <c r="B47" s="283" t="s">
        <v>369</v>
      </c>
      <c r="C47" s="74" t="s">
        <v>14</v>
      </c>
      <c r="D47" s="71">
        <v>2305</v>
      </c>
      <c r="E47" s="8">
        <v>1391</v>
      </c>
      <c r="F47" s="7">
        <f t="shared" si="80"/>
        <v>3696</v>
      </c>
      <c r="G47" s="8"/>
      <c r="H47" s="8"/>
      <c r="I47" s="8"/>
      <c r="J47" s="8">
        <f t="shared" si="79"/>
        <v>2305</v>
      </c>
      <c r="K47" s="8">
        <f t="shared" si="67"/>
        <v>1391</v>
      </c>
      <c r="L47" s="7">
        <f t="shared" si="67"/>
        <v>3696</v>
      </c>
      <c r="M47" s="284" t="s">
        <v>370</v>
      </c>
      <c r="N47" s="71"/>
      <c r="O47" s="8"/>
      <c r="P47" s="7"/>
      <c r="Q47" s="8"/>
      <c r="R47" s="8"/>
      <c r="S47" s="8"/>
      <c r="T47" s="8"/>
      <c r="U47" s="8"/>
      <c r="V47" s="22"/>
      <c r="W47" s="160"/>
      <c r="X47" s="8"/>
      <c r="Y47" s="7"/>
      <c r="Z47" s="7"/>
      <c r="AA47" s="7"/>
      <c r="AB47" s="101"/>
      <c r="AC47" s="8"/>
      <c r="AD47" s="8"/>
      <c r="AE47" s="6"/>
      <c r="AF47" s="161"/>
      <c r="AG47" s="8"/>
      <c r="AH47" s="8"/>
      <c r="AI47" s="8"/>
      <c r="AJ47" s="8"/>
      <c r="AK47" s="8"/>
      <c r="AL47" s="8"/>
      <c r="AM47" s="6"/>
      <c r="AN47" s="96"/>
      <c r="AO47" s="8"/>
      <c r="AP47" s="8"/>
      <c r="AQ47" s="8"/>
      <c r="AR47" s="8"/>
      <c r="AS47" s="8"/>
      <c r="AT47" s="22"/>
      <c r="AU47" s="71"/>
      <c r="AV47" s="8"/>
      <c r="AW47" s="8"/>
      <c r="AX47" s="21"/>
      <c r="AY47" s="78"/>
      <c r="AZ47" s="8"/>
      <c r="BA47" s="8"/>
      <c r="BB47" s="8"/>
      <c r="BC47" s="22"/>
      <c r="BD47" s="8"/>
      <c r="BE47" s="8"/>
      <c r="BF47" s="8"/>
      <c r="BG47" s="8"/>
      <c r="BH47" s="8"/>
      <c r="BI47" s="162"/>
      <c r="BJ47" s="163"/>
      <c r="BK47" s="163"/>
      <c r="BL47" s="163"/>
      <c r="BM47" s="192"/>
      <c r="BN47" s="163"/>
      <c r="BO47" s="163"/>
      <c r="BP47" s="8"/>
      <c r="BQ47" s="8"/>
      <c r="BR47" s="22"/>
      <c r="BS47" s="166"/>
      <c r="BT47" s="2"/>
      <c r="BU47" s="2"/>
    </row>
    <row r="48" spans="1:74" ht="100.5" customHeight="1" x14ac:dyDescent="0.25">
      <c r="A48" s="102" t="s">
        <v>135</v>
      </c>
      <c r="B48" s="12" t="s">
        <v>371</v>
      </c>
      <c r="C48" s="74" t="s">
        <v>14</v>
      </c>
      <c r="D48" s="71">
        <v>0</v>
      </c>
      <c r="E48" s="8">
        <v>6000</v>
      </c>
      <c r="F48" s="7">
        <f t="shared" si="80"/>
        <v>6000</v>
      </c>
      <c r="G48" s="8"/>
      <c r="H48" s="8"/>
      <c r="I48" s="8"/>
      <c r="J48" s="8">
        <f t="shared" si="79"/>
        <v>0</v>
      </c>
      <c r="K48" s="8">
        <f t="shared" si="67"/>
        <v>6000</v>
      </c>
      <c r="L48" s="7">
        <f t="shared" si="67"/>
        <v>6000</v>
      </c>
      <c r="M48" s="282" t="s">
        <v>372</v>
      </c>
      <c r="N48" s="71"/>
      <c r="O48" s="8"/>
      <c r="P48" s="7"/>
      <c r="Q48" s="8"/>
      <c r="R48" s="8"/>
      <c r="S48" s="8"/>
      <c r="T48" s="8"/>
      <c r="U48" s="8"/>
      <c r="V48" s="22"/>
      <c r="W48" s="160"/>
      <c r="X48" s="8"/>
      <c r="Y48" s="7"/>
      <c r="Z48" s="7"/>
      <c r="AA48" s="7"/>
      <c r="AB48" s="101"/>
      <c r="AC48" s="8"/>
      <c r="AD48" s="8"/>
      <c r="AE48" s="6"/>
      <c r="AF48" s="161"/>
      <c r="AG48" s="8"/>
      <c r="AH48" s="8"/>
      <c r="AI48" s="8"/>
      <c r="AJ48" s="8"/>
      <c r="AK48" s="8"/>
      <c r="AL48" s="8"/>
      <c r="AM48" s="6"/>
      <c r="AN48" s="96"/>
      <c r="AO48" s="8"/>
      <c r="AP48" s="8"/>
      <c r="AQ48" s="8"/>
      <c r="AR48" s="8"/>
      <c r="AS48" s="8"/>
      <c r="AT48" s="22"/>
      <c r="AU48" s="71"/>
      <c r="AV48" s="8"/>
      <c r="AW48" s="8"/>
      <c r="AX48" s="21"/>
      <c r="AY48" s="78"/>
      <c r="AZ48" s="8"/>
      <c r="BA48" s="8"/>
      <c r="BB48" s="8"/>
      <c r="BC48" s="22"/>
      <c r="BD48" s="8"/>
      <c r="BE48" s="8"/>
      <c r="BF48" s="8"/>
      <c r="BG48" s="8"/>
      <c r="BH48" s="8"/>
      <c r="BI48" s="162"/>
      <c r="BJ48" s="163"/>
      <c r="BK48" s="163"/>
      <c r="BL48" s="163"/>
      <c r="BM48" s="192"/>
      <c r="BN48" s="163"/>
      <c r="BO48" s="163"/>
      <c r="BP48" s="8"/>
      <c r="BQ48" s="8"/>
      <c r="BR48" s="22"/>
      <c r="BS48" s="166"/>
      <c r="BT48" s="2"/>
      <c r="BU48" s="2"/>
    </row>
    <row r="49" spans="1:73" ht="126.75" customHeight="1" x14ac:dyDescent="0.25">
      <c r="A49" s="102" t="s">
        <v>135</v>
      </c>
      <c r="B49" s="12" t="s">
        <v>373</v>
      </c>
      <c r="C49" s="74" t="s">
        <v>14</v>
      </c>
      <c r="D49" s="71">
        <v>2354</v>
      </c>
      <c r="E49" s="8">
        <v>613</v>
      </c>
      <c r="F49" s="7">
        <f t="shared" si="80"/>
        <v>2967</v>
      </c>
      <c r="G49" s="8"/>
      <c r="H49" s="8"/>
      <c r="I49" s="8"/>
      <c r="J49" s="8">
        <f t="shared" si="79"/>
        <v>2354</v>
      </c>
      <c r="K49" s="8">
        <f t="shared" si="67"/>
        <v>613</v>
      </c>
      <c r="L49" s="7">
        <f t="shared" si="67"/>
        <v>2967</v>
      </c>
      <c r="M49" s="294" t="s">
        <v>405</v>
      </c>
      <c r="N49" s="71"/>
      <c r="O49" s="8"/>
      <c r="P49" s="7"/>
      <c r="Q49" s="8"/>
      <c r="R49" s="8"/>
      <c r="S49" s="8"/>
      <c r="T49" s="8"/>
      <c r="U49" s="8"/>
      <c r="V49" s="22"/>
      <c r="W49" s="160"/>
      <c r="X49" s="8"/>
      <c r="Y49" s="7"/>
      <c r="Z49" s="7"/>
      <c r="AA49" s="7"/>
      <c r="AB49" s="101"/>
      <c r="AC49" s="8"/>
      <c r="AD49" s="8"/>
      <c r="AE49" s="6"/>
      <c r="AF49" s="161"/>
      <c r="AG49" s="8"/>
      <c r="AH49" s="8"/>
      <c r="AI49" s="8"/>
      <c r="AJ49" s="8"/>
      <c r="AK49" s="8"/>
      <c r="AL49" s="8"/>
      <c r="AM49" s="6"/>
      <c r="AN49" s="96"/>
      <c r="AO49" s="8"/>
      <c r="AP49" s="8"/>
      <c r="AQ49" s="8"/>
      <c r="AR49" s="8"/>
      <c r="AS49" s="8"/>
      <c r="AT49" s="22"/>
      <c r="AU49" s="71"/>
      <c r="AV49" s="8"/>
      <c r="AW49" s="8"/>
      <c r="AX49" s="21"/>
      <c r="AY49" s="78"/>
      <c r="AZ49" s="8"/>
      <c r="BA49" s="8"/>
      <c r="BB49" s="8"/>
      <c r="BC49" s="22"/>
      <c r="BD49" s="8"/>
      <c r="BE49" s="8"/>
      <c r="BF49" s="8"/>
      <c r="BG49" s="8"/>
      <c r="BH49" s="8"/>
      <c r="BI49" s="162"/>
      <c r="BJ49" s="163"/>
      <c r="BK49" s="163"/>
      <c r="BL49" s="163"/>
      <c r="BM49" s="192"/>
      <c r="BN49" s="163"/>
      <c r="BO49" s="163"/>
      <c r="BP49" s="8"/>
      <c r="BQ49" s="8"/>
      <c r="BR49" s="22"/>
      <c r="BS49" s="166"/>
      <c r="BT49" s="2"/>
      <c r="BU49" s="2"/>
    </row>
    <row r="50" spans="1:73" ht="159.75" customHeight="1" x14ac:dyDescent="0.25">
      <c r="A50" s="102" t="s">
        <v>135</v>
      </c>
      <c r="B50" s="12" t="s">
        <v>374</v>
      </c>
      <c r="C50" s="74" t="s">
        <v>14</v>
      </c>
      <c r="D50" s="71">
        <v>1222</v>
      </c>
      <c r="E50" s="8">
        <v>1272</v>
      </c>
      <c r="F50" s="7">
        <f t="shared" si="80"/>
        <v>2494</v>
      </c>
      <c r="G50" s="8"/>
      <c r="H50" s="8"/>
      <c r="I50" s="8"/>
      <c r="J50" s="8">
        <f t="shared" si="79"/>
        <v>1222</v>
      </c>
      <c r="K50" s="8">
        <f t="shared" si="67"/>
        <v>1272</v>
      </c>
      <c r="L50" s="7">
        <f t="shared" si="67"/>
        <v>2494</v>
      </c>
      <c r="M50" s="294" t="s">
        <v>406</v>
      </c>
      <c r="N50" s="71"/>
      <c r="O50" s="8"/>
      <c r="P50" s="7"/>
      <c r="Q50" s="8"/>
      <c r="R50" s="8"/>
      <c r="S50" s="8"/>
      <c r="T50" s="8"/>
      <c r="U50" s="8"/>
      <c r="V50" s="22"/>
      <c r="W50" s="160"/>
      <c r="X50" s="8"/>
      <c r="Y50" s="7"/>
      <c r="Z50" s="7"/>
      <c r="AA50" s="7"/>
      <c r="AB50" s="101"/>
      <c r="AC50" s="8"/>
      <c r="AD50" s="8"/>
      <c r="AE50" s="6"/>
      <c r="AF50" s="161"/>
      <c r="AG50" s="8"/>
      <c r="AH50" s="8"/>
      <c r="AI50" s="8"/>
      <c r="AJ50" s="8"/>
      <c r="AK50" s="8"/>
      <c r="AL50" s="8"/>
      <c r="AM50" s="6"/>
      <c r="AN50" s="96"/>
      <c r="AO50" s="8"/>
      <c r="AP50" s="8"/>
      <c r="AQ50" s="8"/>
      <c r="AR50" s="8"/>
      <c r="AS50" s="8"/>
      <c r="AT50" s="22"/>
      <c r="AU50" s="71"/>
      <c r="AV50" s="8"/>
      <c r="AW50" s="8"/>
      <c r="AX50" s="21"/>
      <c r="AY50" s="78"/>
      <c r="AZ50" s="8"/>
      <c r="BA50" s="8"/>
      <c r="BB50" s="8"/>
      <c r="BC50" s="22"/>
      <c r="BD50" s="8"/>
      <c r="BE50" s="8"/>
      <c r="BF50" s="8"/>
      <c r="BG50" s="8"/>
      <c r="BH50" s="8"/>
      <c r="BI50" s="162"/>
      <c r="BJ50" s="163"/>
      <c r="BK50" s="163"/>
      <c r="BL50" s="163"/>
      <c r="BM50" s="192"/>
      <c r="BN50" s="163"/>
      <c r="BO50" s="163"/>
      <c r="BP50" s="8"/>
      <c r="BQ50" s="8"/>
      <c r="BR50" s="22"/>
      <c r="BS50" s="166"/>
      <c r="BT50" s="2"/>
      <c r="BU50" s="2"/>
    </row>
    <row r="51" spans="1:73" s="5" customFormat="1" ht="27" customHeight="1" x14ac:dyDescent="0.25">
      <c r="A51" s="79"/>
      <c r="B51" s="80" t="s">
        <v>88</v>
      </c>
      <c r="C51" s="81"/>
      <c r="D51" s="82">
        <f>SUM(D35:D50)</f>
        <v>271370</v>
      </c>
      <c r="E51" s="16">
        <f>SUM(E35:E50)</f>
        <v>115189</v>
      </c>
      <c r="F51" s="15">
        <f>SUM(F35:F50)</f>
        <v>386559</v>
      </c>
      <c r="G51" s="16">
        <f>SUM(G35:G50)-1</f>
        <v>4756.8</v>
      </c>
      <c r="H51" s="16">
        <f>SUM(H35:H50)</f>
        <v>328.95000000000005</v>
      </c>
      <c r="I51" s="16">
        <f>SUM(I35:I50)</f>
        <v>5085.75</v>
      </c>
      <c r="J51" s="16">
        <f>SUM(J35:J50)+1</f>
        <v>266613.2</v>
      </c>
      <c r="K51" s="16">
        <f>SUM(K35:K50)</f>
        <v>114860.05</v>
      </c>
      <c r="L51" s="26">
        <f>SUM(L35:L50)</f>
        <v>381473.25</v>
      </c>
      <c r="M51" s="83"/>
      <c r="N51" s="82">
        <f>SUM(N35:N40)</f>
        <v>241451</v>
      </c>
      <c r="O51" s="16">
        <f>SUM(O35:O40)</f>
        <v>24541</v>
      </c>
      <c r="P51" s="15">
        <f>SUM(P35:P40)</f>
        <v>265992</v>
      </c>
      <c r="Q51" s="16">
        <f>SUM(Q35:Q40)</f>
        <v>4892.2</v>
      </c>
      <c r="R51" s="16">
        <f>SUM(R35:R40)</f>
        <v>277.05</v>
      </c>
      <c r="S51" s="16">
        <f>SUM(S35:S40)+1</f>
        <v>5169.25</v>
      </c>
      <c r="T51" s="16">
        <f t="shared" ref="T51:Z51" si="81">SUM(T35:T40)</f>
        <v>236558.8</v>
      </c>
      <c r="U51" s="16">
        <f t="shared" si="81"/>
        <v>24263.95</v>
      </c>
      <c r="V51" s="26">
        <f t="shared" si="81"/>
        <v>260822.75</v>
      </c>
      <c r="W51" s="167">
        <f t="shared" si="81"/>
        <v>211</v>
      </c>
      <c r="X51" s="16">
        <f t="shared" si="81"/>
        <v>236558.8</v>
      </c>
      <c r="Y51" s="15">
        <f t="shared" si="81"/>
        <v>24052.95</v>
      </c>
      <c r="Z51" s="15">
        <f t="shared" si="81"/>
        <v>260611.75</v>
      </c>
      <c r="AA51" s="15">
        <f>SUM(AA35:AA41)</f>
        <v>37976.5</v>
      </c>
      <c r="AB51" s="91"/>
      <c r="AC51" s="16">
        <f t="shared" ref="AC51:AI51" si="82">SUM(AC35:AC39)</f>
        <v>246104</v>
      </c>
      <c r="AD51" s="16">
        <f t="shared" si="82"/>
        <v>13684</v>
      </c>
      <c r="AE51" s="14">
        <f t="shared" si="82"/>
        <v>259788</v>
      </c>
      <c r="AF51" s="168">
        <f t="shared" si="82"/>
        <v>1064</v>
      </c>
      <c r="AG51" s="16">
        <f t="shared" si="82"/>
        <v>4078</v>
      </c>
      <c r="AH51" s="16">
        <f t="shared" si="82"/>
        <v>631</v>
      </c>
      <c r="AI51" s="16">
        <f t="shared" si="82"/>
        <v>4709</v>
      </c>
      <c r="AJ51" s="16">
        <f>SUM(AJ35:AJ40)</f>
        <v>242026</v>
      </c>
      <c r="AK51" s="16">
        <f>SUM(AK35:AK40)</f>
        <v>11989</v>
      </c>
      <c r="AL51" s="16">
        <f>SUM(AL35:AL40)</f>
        <v>254015</v>
      </c>
      <c r="AM51" s="15">
        <f>SUM(AM35:AM40)</f>
        <v>6807.75</v>
      </c>
      <c r="AN51" s="91"/>
      <c r="AO51" s="16">
        <f t="shared" ref="AO51:AX51" si="83">SUM(AO35:AO39)</f>
        <v>238326</v>
      </c>
      <c r="AP51" s="16">
        <f t="shared" si="83"/>
        <v>21053</v>
      </c>
      <c r="AQ51" s="16">
        <f t="shared" si="83"/>
        <v>259379</v>
      </c>
      <c r="AR51" s="16">
        <f t="shared" si="83"/>
        <v>3300.1000000000004</v>
      </c>
      <c r="AS51" s="16">
        <f t="shared" si="83"/>
        <v>1052.6500000000001</v>
      </c>
      <c r="AT51" s="26">
        <f t="shared" si="83"/>
        <v>4352.75</v>
      </c>
      <c r="AU51" s="82">
        <f t="shared" si="83"/>
        <v>235025.9</v>
      </c>
      <c r="AV51" s="16">
        <f t="shared" si="83"/>
        <v>20000.349999999999</v>
      </c>
      <c r="AW51" s="16">
        <f t="shared" si="83"/>
        <v>255026.25</v>
      </c>
      <c r="AX51" s="16">
        <f t="shared" si="83"/>
        <v>-1011.2499999999973</v>
      </c>
      <c r="AY51" s="169"/>
      <c r="AZ51" s="16">
        <f t="shared" ref="AZ51:BH51" si="84">SUM(AZ35:AZ39)</f>
        <v>238608</v>
      </c>
      <c r="BA51" s="16">
        <f t="shared" si="84"/>
        <v>11693</v>
      </c>
      <c r="BB51" s="16">
        <f t="shared" si="84"/>
        <v>250301</v>
      </c>
      <c r="BC51" s="16">
        <f t="shared" si="84"/>
        <v>3732</v>
      </c>
      <c r="BD51" s="16">
        <f t="shared" si="84"/>
        <v>585</v>
      </c>
      <c r="BE51" s="16">
        <f t="shared" si="84"/>
        <v>4317</v>
      </c>
      <c r="BF51" s="16">
        <f t="shared" si="84"/>
        <v>234876</v>
      </c>
      <c r="BG51" s="16">
        <f t="shared" si="84"/>
        <v>11108</v>
      </c>
      <c r="BH51" s="16">
        <f t="shared" si="84"/>
        <v>245984</v>
      </c>
      <c r="BI51" s="170"/>
      <c r="BJ51" s="171">
        <f t="shared" ref="BJ51:BO51" si="85">SUM(BJ35:BJ39)</f>
        <v>205459</v>
      </c>
      <c r="BK51" s="171">
        <f t="shared" si="85"/>
        <v>25108</v>
      </c>
      <c r="BL51" s="171">
        <f t="shared" si="85"/>
        <v>230567</v>
      </c>
      <c r="BM51" s="171">
        <f t="shared" si="85"/>
        <v>2177</v>
      </c>
      <c r="BN51" s="171">
        <f t="shared" si="85"/>
        <v>1322</v>
      </c>
      <c r="BO51" s="171">
        <f t="shared" si="85"/>
        <v>3499</v>
      </c>
      <c r="BP51" s="16">
        <f t="shared" si="4"/>
        <v>207636</v>
      </c>
      <c r="BQ51" s="16">
        <f t="shared" si="4"/>
        <v>26430</v>
      </c>
      <c r="BR51" s="16">
        <f t="shared" si="4"/>
        <v>234066</v>
      </c>
      <c r="BS51" s="174"/>
      <c r="BT51" s="2"/>
      <c r="BU51" s="2"/>
    </row>
    <row r="52" spans="1:73" ht="35.1" customHeight="1" x14ac:dyDescent="0.25">
      <c r="A52" s="11" t="s">
        <v>174</v>
      </c>
      <c r="B52" s="12" t="s">
        <v>4</v>
      </c>
      <c r="C52" s="70" t="s">
        <v>17</v>
      </c>
      <c r="D52" s="71">
        <v>1690</v>
      </c>
      <c r="E52" s="7">
        <v>604</v>
      </c>
      <c r="F52" s="7">
        <f>SUM(D52:E52)</f>
        <v>2294</v>
      </c>
      <c r="G52" s="6">
        <f>D52*10%</f>
        <v>169</v>
      </c>
      <c r="H52" s="6">
        <f>E52*5%</f>
        <v>30.200000000000003</v>
      </c>
      <c r="I52" s="6">
        <f>SUM(G52:H52)</f>
        <v>199.2</v>
      </c>
      <c r="J52" s="7">
        <f>D52-G52</f>
        <v>1521</v>
      </c>
      <c r="K52" s="6">
        <f>E52-H52</f>
        <v>573.79999999999995</v>
      </c>
      <c r="L52" s="6">
        <f>F52-I52</f>
        <v>2094.8000000000002</v>
      </c>
      <c r="M52" s="126"/>
      <c r="N52" s="8">
        <v>1690</v>
      </c>
      <c r="O52" s="7">
        <v>629</v>
      </c>
      <c r="P52" s="7">
        <f>SUM(N52:O52)</f>
        <v>2319</v>
      </c>
      <c r="Q52" s="6">
        <f>N52*10%</f>
        <v>169</v>
      </c>
      <c r="R52" s="6">
        <f>O52*5%</f>
        <v>31.450000000000003</v>
      </c>
      <c r="S52" s="6">
        <f>SUM(Q52:R52)</f>
        <v>200.45</v>
      </c>
      <c r="T52" s="7">
        <f>N52-Q52</f>
        <v>1521</v>
      </c>
      <c r="U52" s="6">
        <f>O52-R52</f>
        <v>597.54999999999995</v>
      </c>
      <c r="V52" s="6">
        <f>P52-S52</f>
        <v>2118.5500000000002</v>
      </c>
      <c r="W52" s="160">
        <v>24</v>
      </c>
      <c r="X52" s="8">
        <f>T52</f>
        <v>1521</v>
      </c>
      <c r="Y52" s="7">
        <f>U52-W52</f>
        <v>573.54999999999995</v>
      </c>
      <c r="Z52" s="7">
        <f>X52+Y52</f>
        <v>2094.5500000000002</v>
      </c>
      <c r="AA52" s="22">
        <f>L52-Z52</f>
        <v>0.25</v>
      </c>
      <c r="AB52" s="72"/>
      <c r="AC52" s="8">
        <v>1690</v>
      </c>
      <c r="AD52" s="7">
        <v>629</v>
      </c>
      <c r="AE52" s="6">
        <f>SUM(AC52:AD52)</f>
        <v>2319</v>
      </c>
      <c r="AF52" s="161">
        <v>49</v>
      </c>
      <c r="AG52" s="22">
        <v>169</v>
      </c>
      <c r="AH52" s="6">
        <v>29</v>
      </c>
      <c r="AI52" s="6">
        <f>SUM(AG52:AH52)</f>
        <v>198</v>
      </c>
      <c r="AJ52" s="7">
        <f>AC52-AG52</f>
        <v>1521</v>
      </c>
      <c r="AK52" s="6">
        <f>AD52-AH52-AF52</f>
        <v>551</v>
      </c>
      <c r="AL52" s="6">
        <f>AE52-AI52-AF52</f>
        <v>2072</v>
      </c>
      <c r="AM52" s="6">
        <f>V52-AL52</f>
        <v>46.550000000000182</v>
      </c>
      <c r="AN52" s="72"/>
      <c r="AO52" s="8">
        <v>1690</v>
      </c>
      <c r="AP52" s="7">
        <v>629</v>
      </c>
      <c r="AQ52" s="7">
        <f>SUM(AO52:AP52)</f>
        <v>2319</v>
      </c>
      <c r="AR52" s="6">
        <f>AO52*10%</f>
        <v>169</v>
      </c>
      <c r="AS52" s="6">
        <f>AP52*5%</f>
        <v>31.450000000000003</v>
      </c>
      <c r="AT52" s="6">
        <f>SUM(AR52:AS52)</f>
        <v>200.45</v>
      </c>
      <c r="AU52" s="71">
        <f>AO52-AR52</f>
        <v>1521</v>
      </c>
      <c r="AV52" s="6">
        <f>AP52-AS52</f>
        <v>597.54999999999995</v>
      </c>
      <c r="AW52" s="6">
        <f>AQ52-AT52</f>
        <v>2118.5500000000002</v>
      </c>
      <c r="AX52" s="193">
        <f t="shared" ref="AX52:AX56" si="86">AL52-AW52</f>
        <v>-46.550000000000182</v>
      </c>
      <c r="AY52" s="73"/>
      <c r="AZ52" s="8">
        <v>1690</v>
      </c>
      <c r="BA52" s="7">
        <v>629</v>
      </c>
      <c r="BB52" s="7">
        <f t="shared" ref="BB52:BB56" si="87">SUM(AZ52:BA52)</f>
        <v>2319</v>
      </c>
      <c r="BC52" s="6">
        <v>169</v>
      </c>
      <c r="BD52" s="6">
        <v>31</v>
      </c>
      <c r="BE52" s="6">
        <f>SUM(BC52:BD52)</f>
        <v>200</v>
      </c>
      <c r="BF52" s="7">
        <f t="shared" si="18"/>
        <v>1521</v>
      </c>
      <c r="BG52" s="6">
        <f t="shared" si="18"/>
        <v>598</v>
      </c>
      <c r="BH52" s="6">
        <f t="shared" si="18"/>
        <v>2119</v>
      </c>
      <c r="BI52" s="162"/>
      <c r="BJ52" s="163">
        <v>1521</v>
      </c>
      <c r="BK52" s="164">
        <v>598</v>
      </c>
      <c r="BL52" s="164">
        <f t="shared" ref="BL52:BL56" si="88">SUM(BJ52:BK52)</f>
        <v>2119</v>
      </c>
      <c r="BM52" s="165">
        <v>169</v>
      </c>
      <c r="BN52" s="165">
        <v>31</v>
      </c>
      <c r="BO52" s="165">
        <f>SUM(BM52:BN52)</f>
        <v>200</v>
      </c>
      <c r="BP52" s="6">
        <f t="shared" si="4"/>
        <v>1690</v>
      </c>
      <c r="BQ52" s="6">
        <f t="shared" si="4"/>
        <v>629</v>
      </c>
      <c r="BR52" s="6">
        <f t="shared" si="4"/>
        <v>2319</v>
      </c>
      <c r="BS52" s="166" t="s">
        <v>282</v>
      </c>
      <c r="BT52" s="2"/>
      <c r="BU52" s="2"/>
    </row>
    <row r="53" spans="1:73" ht="141" customHeight="1" x14ac:dyDescent="0.25">
      <c r="A53" s="11" t="s">
        <v>175</v>
      </c>
      <c r="B53" s="9" t="s">
        <v>89</v>
      </c>
      <c r="C53" s="70" t="s">
        <v>17</v>
      </c>
      <c r="D53" s="92">
        <v>9000</v>
      </c>
      <c r="E53" s="93">
        <v>1252</v>
      </c>
      <c r="F53" s="7">
        <f t="shared" ref="F53:F56" si="89">SUM(D53:E53)</f>
        <v>10252</v>
      </c>
      <c r="G53" s="6">
        <f>D53*10%</f>
        <v>900</v>
      </c>
      <c r="H53" s="6">
        <v>63</v>
      </c>
      <c r="I53" s="6">
        <f>SUM(G53:H53)</f>
        <v>963</v>
      </c>
      <c r="J53" s="7">
        <f t="shared" ref="J53:L56" si="90">D53-G53</f>
        <v>8100</v>
      </c>
      <c r="K53" s="6">
        <f t="shared" si="90"/>
        <v>1189</v>
      </c>
      <c r="L53" s="6">
        <f t="shared" si="90"/>
        <v>9289</v>
      </c>
      <c r="M53" s="295" t="s">
        <v>407</v>
      </c>
      <c r="N53" s="194">
        <f>5000-1700</f>
        <v>3300</v>
      </c>
      <c r="O53" s="93">
        <v>4737</v>
      </c>
      <c r="P53" s="7">
        <f t="shared" ref="P53:P56" si="91">SUM(N53:O53)</f>
        <v>8037</v>
      </c>
      <c r="Q53" s="6">
        <f>N53*10%</f>
        <v>330</v>
      </c>
      <c r="R53" s="6">
        <v>237</v>
      </c>
      <c r="S53" s="6">
        <f>SUM(Q53:R53)</f>
        <v>567</v>
      </c>
      <c r="T53" s="7">
        <f t="shared" ref="T53:V56" si="92">N53-Q53</f>
        <v>2970</v>
      </c>
      <c r="U53" s="6">
        <f t="shared" si="92"/>
        <v>4500</v>
      </c>
      <c r="V53" s="6">
        <f t="shared" si="92"/>
        <v>7470</v>
      </c>
      <c r="W53" s="160">
        <v>181</v>
      </c>
      <c r="X53" s="8">
        <f t="shared" ref="X53:X56" si="93">T53</f>
        <v>2970</v>
      </c>
      <c r="Y53" s="7">
        <f t="shared" ref="Y53:Y56" si="94">U53-W53</f>
        <v>4319</v>
      </c>
      <c r="Z53" s="7">
        <f t="shared" ref="Z53:Z56" si="95">X53+Y53</f>
        <v>7289</v>
      </c>
      <c r="AA53" s="22">
        <f t="shared" ref="AA53:AA56" si="96">L53-Z53</f>
        <v>2000</v>
      </c>
      <c r="AB53" s="195" t="s">
        <v>283</v>
      </c>
      <c r="AC53" s="194">
        <f>5000-1700</f>
        <v>3300</v>
      </c>
      <c r="AD53" s="93">
        <v>4737</v>
      </c>
      <c r="AE53" s="6">
        <f t="shared" ref="AE53:AE56" si="97">SUM(AC53:AD53)</f>
        <v>8037</v>
      </c>
      <c r="AF53" s="161">
        <v>368</v>
      </c>
      <c r="AG53" s="22">
        <v>330</v>
      </c>
      <c r="AH53" s="6">
        <v>218</v>
      </c>
      <c r="AI53" s="6">
        <f>SUM(AG53:AH53)</f>
        <v>548</v>
      </c>
      <c r="AJ53" s="7">
        <f t="shared" ref="AJ53:AL56" si="98">AC53-AG53</f>
        <v>2970</v>
      </c>
      <c r="AK53" s="6">
        <f>AD53-AH53-AF53</f>
        <v>4151</v>
      </c>
      <c r="AL53" s="6">
        <f>AE53-AI53-AF53</f>
        <v>7121</v>
      </c>
      <c r="AM53" s="6">
        <f t="shared" ref="AM53:AM56" si="99">V53-AL53</f>
        <v>349</v>
      </c>
      <c r="AN53" s="73" t="s">
        <v>284</v>
      </c>
      <c r="AO53" s="8">
        <v>5000</v>
      </c>
      <c r="AP53" s="7">
        <v>4737</v>
      </c>
      <c r="AQ53" s="7">
        <f t="shared" ref="AQ53:AQ56" si="100">SUM(AO53:AP53)</f>
        <v>9737</v>
      </c>
      <c r="AR53" s="6">
        <f>AO53*10%</f>
        <v>500</v>
      </c>
      <c r="AS53" s="6">
        <f>AP53*5%</f>
        <v>236.85000000000002</v>
      </c>
      <c r="AT53" s="6">
        <f>SUM(AR53:AS53)</f>
        <v>736.85</v>
      </c>
      <c r="AU53" s="71">
        <f t="shared" ref="AU53:AW56" si="101">AO53-AR53</f>
        <v>4500</v>
      </c>
      <c r="AV53" s="6">
        <f t="shared" si="101"/>
        <v>4500.1499999999996</v>
      </c>
      <c r="AW53" s="6">
        <f t="shared" si="101"/>
        <v>9000.15</v>
      </c>
      <c r="AX53" s="6">
        <f t="shared" si="86"/>
        <v>-1879.1499999999996</v>
      </c>
      <c r="AY53" s="175"/>
      <c r="AZ53" s="8">
        <v>5000</v>
      </c>
      <c r="BA53" s="7">
        <v>4737</v>
      </c>
      <c r="BB53" s="7">
        <f t="shared" si="87"/>
        <v>9737</v>
      </c>
      <c r="BC53" s="6">
        <v>500</v>
      </c>
      <c r="BD53" s="6">
        <v>237</v>
      </c>
      <c r="BE53" s="6">
        <f>SUM(BC53:BD53)</f>
        <v>737</v>
      </c>
      <c r="BF53" s="7">
        <f t="shared" si="18"/>
        <v>4500</v>
      </c>
      <c r="BG53" s="6">
        <f t="shared" si="18"/>
        <v>4500</v>
      </c>
      <c r="BH53" s="6">
        <f t="shared" si="18"/>
        <v>9000</v>
      </c>
      <c r="BI53" s="320" t="s">
        <v>285</v>
      </c>
      <c r="BJ53" s="163">
        <v>2981</v>
      </c>
      <c r="BK53" s="164">
        <v>5978</v>
      </c>
      <c r="BL53" s="164">
        <f t="shared" si="88"/>
        <v>8959</v>
      </c>
      <c r="BM53" s="165">
        <v>331</v>
      </c>
      <c r="BN53" s="165">
        <v>315</v>
      </c>
      <c r="BO53" s="165">
        <f>SUM(BM53:BN53)</f>
        <v>646</v>
      </c>
      <c r="BP53" s="6">
        <f t="shared" si="4"/>
        <v>3312</v>
      </c>
      <c r="BQ53" s="6">
        <f t="shared" si="4"/>
        <v>6293</v>
      </c>
      <c r="BR53" s="6">
        <f t="shared" si="4"/>
        <v>9605</v>
      </c>
      <c r="BS53" s="166"/>
      <c r="BT53" s="2"/>
      <c r="BU53" s="2"/>
    </row>
    <row r="54" spans="1:73" ht="62.25" customHeight="1" x14ac:dyDescent="0.25">
      <c r="A54" s="11" t="s">
        <v>176</v>
      </c>
      <c r="B54" s="85" t="s">
        <v>90</v>
      </c>
      <c r="C54" s="70" t="s">
        <v>17</v>
      </c>
      <c r="D54" s="71">
        <v>0</v>
      </c>
      <c r="E54" s="7">
        <v>3853</v>
      </c>
      <c r="F54" s="7">
        <f t="shared" si="89"/>
        <v>3853</v>
      </c>
      <c r="G54" s="6"/>
      <c r="H54" s="6"/>
      <c r="I54" s="6"/>
      <c r="J54" s="7">
        <f t="shared" si="90"/>
        <v>0</v>
      </c>
      <c r="K54" s="6">
        <f t="shared" si="90"/>
        <v>3853</v>
      </c>
      <c r="L54" s="6">
        <f t="shared" si="90"/>
        <v>3853</v>
      </c>
      <c r="M54" s="126"/>
      <c r="N54" s="8">
        <v>0</v>
      </c>
      <c r="O54" s="7">
        <v>4014</v>
      </c>
      <c r="P54" s="7">
        <f t="shared" si="91"/>
        <v>4014</v>
      </c>
      <c r="Q54" s="6"/>
      <c r="R54" s="6"/>
      <c r="S54" s="6"/>
      <c r="T54" s="7">
        <f t="shared" si="92"/>
        <v>0</v>
      </c>
      <c r="U54" s="6">
        <f t="shared" si="92"/>
        <v>4014</v>
      </c>
      <c r="V54" s="6">
        <f t="shared" si="92"/>
        <v>4014</v>
      </c>
      <c r="W54" s="160">
        <v>161</v>
      </c>
      <c r="X54" s="8">
        <f t="shared" si="93"/>
        <v>0</v>
      </c>
      <c r="Y54" s="7">
        <f t="shared" si="94"/>
        <v>3853</v>
      </c>
      <c r="Z54" s="7">
        <f t="shared" si="95"/>
        <v>3853</v>
      </c>
      <c r="AA54" s="22">
        <f t="shared" si="96"/>
        <v>0</v>
      </c>
      <c r="AB54" s="72"/>
      <c r="AC54" s="8">
        <v>0</v>
      </c>
      <c r="AD54" s="7">
        <v>4014</v>
      </c>
      <c r="AE54" s="6">
        <f t="shared" si="97"/>
        <v>4014</v>
      </c>
      <c r="AF54" s="161">
        <v>312</v>
      </c>
      <c r="AG54" s="22"/>
      <c r="AH54" s="6"/>
      <c r="AI54" s="6"/>
      <c r="AJ54" s="7">
        <f t="shared" si="98"/>
        <v>0</v>
      </c>
      <c r="AK54" s="6">
        <f>AD54-AH54-AF54</f>
        <v>3702</v>
      </c>
      <c r="AL54" s="6">
        <f>AE54-AI54-AF54</f>
        <v>3702</v>
      </c>
      <c r="AM54" s="6">
        <f t="shared" si="99"/>
        <v>312</v>
      </c>
      <c r="AN54" s="72"/>
      <c r="AO54" s="8">
        <v>0</v>
      </c>
      <c r="AP54" s="7">
        <v>4014</v>
      </c>
      <c r="AQ54" s="7">
        <f t="shared" si="100"/>
        <v>4014</v>
      </c>
      <c r="AR54" s="6"/>
      <c r="AS54" s="6"/>
      <c r="AT54" s="6"/>
      <c r="AU54" s="71">
        <f t="shared" si="101"/>
        <v>0</v>
      </c>
      <c r="AV54" s="6">
        <f t="shared" si="101"/>
        <v>4014</v>
      </c>
      <c r="AW54" s="6">
        <f t="shared" si="101"/>
        <v>4014</v>
      </c>
      <c r="AX54" s="193">
        <f t="shared" si="86"/>
        <v>-312</v>
      </c>
      <c r="AY54" s="175"/>
      <c r="AZ54" s="8">
        <v>0</v>
      </c>
      <c r="BA54" s="7">
        <v>4014</v>
      </c>
      <c r="BB54" s="7">
        <f t="shared" si="87"/>
        <v>4014</v>
      </c>
      <c r="BC54" s="6"/>
      <c r="BD54" s="6"/>
      <c r="BE54" s="6"/>
      <c r="BF54" s="7">
        <f t="shared" si="18"/>
        <v>0</v>
      </c>
      <c r="BG54" s="6">
        <f t="shared" si="18"/>
        <v>4014</v>
      </c>
      <c r="BH54" s="6">
        <f t="shared" si="18"/>
        <v>4014</v>
      </c>
      <c r="BI54" s="321"/>
      <c r="BJ54" s="163">
        <v>828</v>
      </c>
      <c r="BK54" s="164">
        <v>5796</v>
      </c>
      <c r="BL54" s="164">
        <f t="shared" si="88"/>
        <v>6624</v>
      </c>
      <c r="BM54" s="165"/>
      <c r="BN54" s="165"/>
      <c r="BO54" s="165"/>
      <c r="BP54" s="6">
        <f t="shared" si="4"/>
        <v>828</v>
      </c>
      <c r="BQ54" s="6">
        <f t="shared" si="4"/>
        <v>5796</v>
      </c>
      <c r="BR54" s="6">
        <f t="shared" si="4"/>
        <v>6624</v>
      </c>
      <c r="BS54" s="166"/>
      <c r="BT54" s="2"/>
      <c r="BU54" s="2"/>
    </row>
    <row r="55" spans="1:73" ht="64.5" customHeight="1" x14ac:dyDescent="0.25">
      <c r="A55" s="11" t="s">
        <v>177</v>
      </c>
      <c r="B55" s="85" t="s">
        <v>91</v>
      </c>
      <c r="C55" s="70" t="s">
        <v>17</v>
      </c>
      <c r="D55" s="71">
        <v>500</v>
      </c>
      <c r="E55" s="7">
        <v>2000</v>
      </c>
      <c r="F55" s="7">
        <f t="shared" si="89"/>
        <v>2500</v>
      </c>
      <c r="G55" s="6"/>
      <c r="H55" s="6"/>
      <c r="I55" s="6"/>
      <c r="J55" s="7">
        <f t="shared" si="90"/>
        <v>500</v>
      </c>
      <c r="K55" s="6">
        <f t="shared" si="90"/>
        <v>2000</v>
      </c>
      <c r="L55" s="6">
        <f t="shared" si="90"/>
        <v>2500</v>
      </c>
      <c r="M55" s="127"/>
      <c r="N55" s="8">
        <v>0</v>
      </c>
      <c r="O55" s="7">
        <v>0</v>
      </c>
      <c r="P55" s="7">
        <f t="shared" si="91"/>
        <v>0</v>
      </c>
      <c r="Q55" s="6"/>
      <c r="R55" s="6"/>
      <c r="S55" s="6"/>
      <c r="T55" s="7">
        <f t="shared" si="92"/>
        <v>0</v>
      </c>
      <c r="U55" s="6">
        <f t="shared" si="92"/>
        <v>0</v>
      </c>
      <c r="V55" s="6">
        <f t="shared" si="92"/>
        <v>0</v>
      </c>
      <c r="W55" s="160"/>
      <c r="X55" s="8">
        <f t="shared" si="93"/>
        <v>0</v>
      </c>
      <c r="Y55" s="7">
        <f t="shared" si="94"/>
        <v>0</v>
      </c>
      <c r="Z55" s="7">
        <f t="shared" si="95"/>
        <v>0</v>
      </c>
      <c r="AA55" s="22">
        <f t="shared" si="96"/>
        <v>2500</v>
      </c>
      <c r="AB55" s="73" t="s">
        <v>148</v>
      </c>
      <c r="AC55" s="8">
        <v>1328</v>
      </c>
      <c r="AD55" s="7">
        <v>5500</v>
      </c>
      <c r="AE55" s="6">
        <f t="shared" si="97"/>
        <v>6828</v>
      </c>
      <c r="AF55" s="161"/>
      <c r="AG55" s="22"/>
      <c r="AH55" s="6"/>
      <c r="AI55" s="6"/>
      <c r="AJ55" s="7">
        <f t="shared" si="98"/>
        <v>1328</v>
      </c>
      <c r="AK55" s="6">
        <f t="shared" si="98"/>
        <v>5500</v>
      </c>
      <c r="AL55" s="6">
        <f t="shared" si="98"/>
        <v>6828</v>
      </c>
      <c r="AM55" s="6">
        <f t="shared" si="99"/>
        <v>-6828</v>
      </c>
      <c r="AN55" s="73" t="s">
        <v>286</v>
      </c>
      <c r="AO55" s="8">
        <v>828</v>
      </c>
      <c r="AP55" s="7">
        <v>3000</v>
      </c>
      <c r="AQ55" s="7">
        <f t="shared" si="100"/>
        <v>3828</v>
      </c>
      <c r="AR55" s="6"/>
      <c r="AS55" s="6"/>
      <c r="AT55" s="6"/>
      <c r="AU55" s="71">
        <f t="shared" si="101"/>
        <v>828</v>
      </c>
      <c r="AV55" s="6">
        <f t="shared" si="101"/>
        <v>3000</v>
      </c>
      <c r="AW55" s="6">
        <f t="shared" si="101"/>
        <v>3828</v>
      </c>
      <c r="AX55" s="193">
        <f t="shared" si="86"/>
        <v>3000</v>
      </c>
      <c r="AY55" s="175"/>
      <c r="AZ55" s="8">
        <v>828</v>
      </c>
      <c r="BA55" s="7">
        <v>3000</v>
      </c>
      <c r="BB55" s="7">
        <f t="shared" si="87"/>
        <v>3828</v>
      </c>
      <c r="BC55" s="6"/>
      <c r="BD55" s="6"/>
      <c r="BE55" s="6"/>
      <c r="BF55" s="7">
        <f t="shared" si="18"/>
        <v>828</v>
      </c>
      <c r="BG55" s="6">
        <f t="shared" si="18"/>
        <v>3000</v>
      </c>
      <c r="BH55" s="6">
        <f t="shared" si="18"/>
        <v>3828</v>
      </c>
      <c r="BI55" s="322"/>
      <c r="BJ55" s="163">
        <v>0</v>
      </c>
      <c r="BK55" s="164">
        <v>1259</v>
      </c>
      <c r="BL55" s="164">
        <f t="shared" si="88"/>
        <v>1259</v>
      </c>
      <c r="BM55" s="165"/>
      <c r="BN55" s="165"/>
      <c r="BO55" s="165"/>
      <c r="BP55" s="6">
        <f t="shared" si="4"/>
        <v>0</v>
      </c>
      <c r="BQ55" s="6">
        <f t="shared" si="4"/>
        <v>1259</v>
      </c>
      <c r="BR55" s="6">
        <f t="shared" si="4"/>
        <v>1259</v>
      </c>
      <c r="BS55" s="166" t="s">
        <v>287</v>
      </c>
      <c r="BT55" s="2"/>
      <c r="BU55" s="2"/>
    </row>
    <row r="56" spans="1:73" ht="35.1" customHeight="1" x14ac:dyDescent="0.25">
      <c r="A56" s="10" t="s">
        <v>178</v>
      </c>
      <c r="B56" s="9" t="s">
        <v>179</v>
      </c>
      <c r="C56" s="74" t="s">
        <v>17</v>
      </c>
      <c r="D56" s="71">
        <v>442</v>
      </c>
      <c r="E56" s="7">
        <v>0</v>
      </c>
      <c r="F56" s="7">
        <f t="shared" si="89"/>
        <v>442</v>
      </c>
      <c r="G56" s="6"/>
      <c r="H56" s="6"/>
      <c r="I56" s="6"/>
      <c r="J56" s="7">
        <f t="shared" si="90"/>
        <v>442</v>
      </c>
      <c r="K56" s="6">
        <f t="shared" si="90"/>
        <v>0</v>
      </c>
      <c r="L56" s="6">
        <f t="shared" si="90"/>
        <v>442</v>
      </c>
      <c r="M56" s="126"/>
      <c r="N56" s="8">
        <v>442</v>
      </c>
      <c r="O56" s="7">
        <v>0</v>
      </c>
      <c r="P56" s="7">
        <f t="shared" si="91"/>
        <v>442</v>
      </c>
      <c r="Q56" s="6"/>
      <c r="R56" s="6"/>
      <c r="S56" s="6"/>
      <c r="T56" s="7">
        <f t="shared" si="92"/>
        <v>442</v>
      </c>
      <c r="U56" s="6">
        <f t="shared" si="92"/>
        <v>0</v>
      </c>
      <c r="V56" s="6">
        <f t="shared" si="92"/>
        <v>442</v>
      </c>
      <c r="W56" s="160"/>
      <c r="X56" s="8">
        <f t="shared" si="93"/>
        <v>442</v>
      </c>
      <c r="Y56" s="7">
        <f t="shared" si="94"/>
        <v>0</v>
      </c>
      <c r="Z56" s="7">
        <f t="shared" si="95"/>
        <v>442</v>
      </c>
      <c r="AA56" s="22">
        <f t="shared" si="96"/>
        <v>0</v>
      </c>
      <c r="AB56" s="72"/>
      <c r="AC56" s="8">
        <v>442</v>
      </c>
      <c r="AD56" s="7">
        <v>0</v>
      </c>
      <c r="AE56" s="6">
        <f t="shared" si="97"/>
        <v>442</v>
      </c>
      <c r="AF56" s="161"/>
      <c r="AG56" s="22"/>
      <c r="AH56" s="6"/>
      <c r="AI56" s="6"/>
      <c r="AJ56" s="7">
        <f t="shared" si="98"/>
        <v>442</v>
      </c>
      <c r="AK56" s="6">
        <f t="shared" si="98"/>
        <v>0</v>
      </c>
      <c r="AL56" s="6">
        <f t="shared" si="98"/>
        <v>442</v>
      </c>
      <c r="AM56" s="6">
        <f t="shared" si="99"/>
        <v>0</v>
      </c>
      <c r="AN56" s="72"/>
      <c r="AO56" s="8">
        <v>442</v>
      </c>
      <c r="AP56" s="7">
        <v>0</v>
      </c>
      <c r="AQ56" s="7">
        <f t="shared" si="100"/>
        <v>442</v>
      </c>
      <c r="AR56" s="6"/>
      <c r="AS56" s="6"/>
      <c r="AT56" s="6"/>
      <c r="AU56" s="71">
        <f t="shared" si="101"/>
        <v>442</v>
      </c>
      <c r="AV56" s="6">
        <f t="shared" si="101"/>
        <v>0</v>
      </c>
      <c r="AW56" s="6">
        <f t="shared" si="101"/>
        <v>442</v>
      </c>
      <c r="AX56" s="193">
        <f t="shared" si="86"/>
        <v>0</v>
      </c>
      <c r="AY56" s="73"/>
      <c r="AZ56" s="8">
        <v>442</v>
      </c>
      <c r="BA56" s="7">
        <v>0</v>
      </c>
      <c r="BB56" s="7">
        <f t="shared" si="87"/>
        <v>442</v>
      </c>
      <c r="BC56" s="6"/>
      <c r="BD56" s="6"/>
      <c r="BE56" s="6"/>
      <c r="BF56" s="7">
        <f t="shared" si="18"/>
        <v>442</v>
      </c>
      <c r="BG56" s="6">
        <f t="shared" si="18"/>
        <v>0</v>
      </c>
      <c r="BH56" s="6">
        <f t="shared" si="18"/>
        <v>442</v>
      </c>
      <c r="BI56" s="162"/>
      <c r="BJ56" s="163">
        <v>442</v>
      </c>
      <c r="BK56" s="164">
        <v>0</v>
      </c>
      <c r="BL56" s="164">
        <f t="shared" si="88"/>
        <v>442</v>
      </c>
      <c r="BM56" s="165"/>
      <c r="BN56" s="165"/>
      <c r="BO56" s="165"/>
      <c r="BP56" s="6">
        <f t="shared" si="4"/>
        <v>442</v>
      </c>
      <c r="BQ56" s="6">
        <f t="shared" si="4"/>
        <v>0</v>
      </c>
      <c r="BR56" s="6">
        <f t="shared" si="4"/>
        <v>442</v>
      </c>
      <c r="BS56" s="166"/>
      <c r="BT56" s="2"/>
      <c r="BU56" s="2"/>
    </row>
    <row r="57" spans="1:73" s="5" customFormat="1" ht="25.5" customHeight="1" x14ac:dyDescent="0.25">
      <c r="A57" s="79"/>
      <c r="B57" s="80" t="s">
        <v>92</v>
      </c>
      <c r="C57" s="81"/>
      <c r="D57" s="82">
        <f t="shared" ref="D57:L57" si="102">SUM(D52:D56)</f>
        <v>11632</v>
      </c>
      <c r="E57" s="16">
        <f t="shared" si="102"/>
        <v>7709</v>
      </c>
      <c r="F57" s="15">
        <f t="shared" si="102"/>
        <v>19341</v>
      </c>
      <c r="G57" s="16">
        <f t="shared" si="102"/>
        <v>1069</v>
      </c>
      <c r="H57" s="16">
        <f t="shared" si="102"/>
        <v>93.2</v>
      </c>
      <c r="I57" s="16">
        <f t="shared" si="102"/>
        <v>1162.2</v>
      </c>
      <c r="J57" s="16">
        <f t="shared" si="102"/>
        <v>10563</v>
      </c>
      <c r="K57" s="16">
        <f t="shared" si="102"/>
        <v>7615.8</v>
      </c>
      <c r="L57" s="15">
        <f t="shared" si="102"/>
        <v>18178.8</v>
      </c>
      <c r="M57" s="91"/>
      <c r="N57" s="82">
        <f t="shared" ref="N57:AA57" si="103">SUM(N52:N56)</f>
        <v>5432</v>
      </c>
      <c r="O57" s="16">
        <f t="shared" si="103"/>
        <v>9380</v>
      </c>
      <c r="P57" s="15">
        <f t="shared" si="103"/>
        <v>14812</v>
      </c>
      <c r="Q57" s="16">
        <f t="shared" si="103"/>
        <v>499</v>
      </c>
      <c r="R57" s="16">
        <f t="shared" si="103"/>
        <v>268.45</v>
      </c>
      <c r="S57" s="16">
        <f t="shared" si="103"/>
        <v>767.45</v>
      </c>
      <c r="T57" s="16">
        <f t="shared" si="103"/>
        <v>4933</v>
      </c>
      <c r="U57" s="16">
        <f t="shared" si="103"/>
        <v>9111.5499999999993</v>
      </c>
      <c r="V57" s="26">
        <f t="shared" si="103"/>
        <v>14044.55</v>
      </c>
      <c r="W57" s="167">
        <f t="shared" si="103"/>
        <v>366</v>
      </c>
      <c r="X57" s="16">
        <f t="shared" si="103"/>
        <v>4933</v>
      </c>
      <c r="Y57" s="15">
        <f t="shared" si="103"/>
        <v>8745.5499999999993</v>
      </c>
      <c r="Z57" s="15">
        <f t="shared" si="103"/>
        <v>13678.55</v>
      </c>
      <c r="AA57" s="26">
        <f t="shared" si="103"/>
        <v>4500.25</v>
      </c>
      <c r="AB57" s="83"/>
      <c r="AC57" s="16">
        <f t="shared" ref="AC57:AM57" si="104">SUM(AC52:AC56)</f>
        <v>6760</v>
      </c>
      <c r="AD57" s="16">
        <f t="shared" si="104"/>
        <v>14880</v>
      </c>
      <c r="AE57" s="14">
        <f t="shared" si="104"/>
        <v>21640</v>
      </c>
      <c r="AF57" s="168">
        <f t="shared" si="104"/>
        <v>729</v>
      </c>
      <c r="AG57" s="16">
        <f t="shared" si="104"/>
        <v>499</v>
      </c>
      <c r="AH57" s="16">
        <f t="shared" si="104"/>
        <v>247</v>
      </c>
      <c r="AI57" s="16">
        <f t="shared" si="104"/>
        <v>746</v>
      </c>
      <c r="AJ57" s="16">
        <f t="shared" si="104"/>
        <v>6261</v>
      </c>
      <c r="AK57" s="16">
        <f t="shared" si="104"/>
        <v>13904</v>
      </c>
      <c r="AL57" s="16">
        <f t="shared" si="104"/>
        <v>20165</v>
      </c>
      <c r="AM57" s="15">
        <f t="shared" si="104"/>
        <v>-6120.45</v>
      </c>
      <c r="AN57" s="91"/>
      <c r="AO57" s="16">
        <f t="shared" ref="AO57:AX57" si="105">SUM(AO52:AO56)</f>
        <v>7960</v>
      </c>
      <c r="AP57" s="16">
        <f t="shared" si="105"/>
        <v>12380</v>
      </c>
      <c r="AQ57" s="16">
        <f t="shared" si="105"/>
        <v>20340</v>
      </c>
      <c r="AR57" s="16">
        <f t="shared" si="105"/>
        <v>669</v>
      </c>
      <c r="AS57" s="16">
        <f t="shared" si="105"/>
        <v>268.3</v>
      </c>
      <c r="AT57" s="26">
        <f t="shared" si="105"/>
        <v>937.3</v>
      </c>
      <c r="AU57" s="82">
        <f t="shared" si="105"/>
        <v>7291</v>
      </c>
      <c r="AV57" s="16">
        <f t="shared" si="105"/>
        <v>12111.7</v>
      </c>
      <c r="AW57" s="16">
        <f t="shared" si="105"/>
        <v>19402.7</v>
      </c>
      <c r="AX57" s="16">
        <f t="shared" si="105"/>
        <v>762.30000000000018</v>
      </c>
      <c r="AY57" s="169"/>
      <c r="AZ57" s="16">
        <f t="shared" ref="AZ57:BE57" si="106">SUM(AZ52:AZ56)</f>
        <v>7960</v>
      </c>
      <c r="BA57" s="16">
        <f t="shared" si="106"/>
        <v>12380</v>
      </c>
      <c r="BB57" s="16">
        <f t="shared" si="106"/>
        <v>20340</v>
      </c>
      <c r="BC57" s="16">
        <f t="shared" si="106"/>
        <v>669</v>
      </c>
      <c r="BD57" s="16">
        <f t="shared" si="106"/>
        <v>268</v>
      </c>
      <c r="BE57" s="16">
        <f t="shared" si="106"/>
        <v>937</v>
      </c>
      <c r="BF57" s="15">
        <f t="shared" si="18"/>
        <v>7291</v>
      </c>
      <c r="BG57" s="15">
        <f t="shared" si="18"/>
        <v>12112</v>
      </c>
      <c r="BH57" s="15">
        <f t="shared" si="18"/>
        <v>19403</v>
      </c>
      <c r="BI57" s="170"/>
      <c r="BJ57" s="171">
        <f t="shared" ref="BJ57:BO57" si="107">SUM(BJ52:BJ56)</f>
        <v>5772</v>
      </c>
      <c r="BK57" s="172">
        <f t="shared" si="107"/>
        <v>13631</v>
      </c>
      <c r="BL57" s="172">
        <f t="shared" si="107"/>
        <v>19403</v>
      </c>
      <c r="BM57" s="172">
        <f t="shared" si="107"/>
        <v>500</v>
      </c>
      <c r="BN57" s="172">
        <f t="shared" si="107"/>
        <v>346</v>
      </c>
      <c r="BO57" s="172">
        <f t="shared" si="107"/>
        <v>846</v>
      </c>
      <c r="BP57" s="15">
        <f t="shared" si="4"/>
        <v>6272</v>
      </c>
      <c r="BQ57" s="15">
        <f t="shared" si="4"/>
        <v>13977</v>
      </c>
      <c r="BR57" s="15">
        <f t="shared" si="4"/>
        <v>20249</v>
      </c>
      <c r="BS57" s="174"/>
      <c r="BT57" s="2"/>
      <c r="BU57" s="2"/>
    </row>
    <row r="58" spans="1:73" s="18" customFormat="1" ht="67.5" customHeight="1" x14ac:dyDescent="0.25">
      <c r="A58" s="88" t="s">
        <v>180</v>
      </c>
      <c r="B58" s="85" t="s">
        <v>5</v>
      </c>
      <c r="C58" s="86" t="s">
        <v>5</v>
      </c>
      <c r="D58" s="87">
        <v>2660</v>
      </c>
      <c r="E58" s="19">
        <v>312</v>
      </c>
      <c r="F58" s="19">
        <f>SUM(D58:E58)</f>
        <v>2972</v>
      </c>
      <c r="G58" s="17"/>
      <c r="H58" s="17"/>
      <c r="I58" s="17"/>
      <c r="J58" s="19">
        <f t="shared" ref="J58:L58" si="108">D58-G58</f>
        <v>2660</v>
      </c>
      <c r="K58" s="17">
        <f t="shared" si="108"/>
        <v>312</v>
      </c>
      <c r="L58" s="19">
        <f t="shared" si="108"/>
        <v>2972</v>
      </c>
      <c r="M58" s="101"/>
      <c r="N58" s="87">
        <v>2700</v>
      </c>
      <c r="O58" s="19">
        <v>200</v>
      </c>
      <c r="P58" s="19">
        <f>SUM(N58:O58)</f>
        <v>2900</v>
      </c>
      <c r="Q58" s="17"/>
      <c r="R58" s="17"/>
      <c r="S58" s="17"/>
      <c r="T58" s="19">
        <f t="shared" ref="T58:U58" si="109">N58-Q58</f>
        <v>2700</v>
      </c>
      <c r="U58" s="17">
        <f t="shared" si="109"/>
        <v>200</v>
      </c>
      <c r="V58" s="17">
        <f>P58-S58</f>
        <v>2900</v>
      </c>
      <c r="W58" s="177">
        <v>8</v>
      </c>
      <c r="X58" s="20">
        <f>T58</f>
        <v>2700</v>
      </c>
      <c r="Y58" s="19">
        <f>U58-W58</f>
        <v>192</v>
      </c>
      <c r="Z58" s="19">
        <f>X58+Y58</f>
        <v>2892</v>
      </c>
      <c r="AA58" s="21">
        <f>L58-Z58</f>
        <v>80</v>
      </c>
      <c r="AB58" s="78" t="s">
        <v>288</v>
      </c>
      <c r="AC58" s="20">
        <v>2525</v>
      </c>
      <c r="AD58" s="19">
        <v>200</v>
      </c>
      <c r="AE58" s="17">
        <f>SUM(AC58:AD58)</f>
        <v>2725</v>
      </c>
      <c r="AF58" s="196">
        <v>16</v>
      </c>
      <c r="AG58" s="21"/>
      <c r="AH58" s="17"/>
      <c r="AI58" s="17"/>
      <c r="AJ58" s="19">
        <f t="shared" ref="AJ58" si="110">AC58-AG58</f>
        <v>2525</v>
      </c>
      <c r="AK58" s="17">
        <f>AD58-AH58-AF58</f>
        <v>184</v>
      </c>
      <c r="AL58" s="17">
        <f>AE58-AI58-AF58</f>
        <v>2709</v>
      </c>
      <c r="AM58" s="17">
        <f>V58-AL58</f>
        <v>191</v>
      </c>
      <c r="AN58" s="78" t="s">
        <v>289</v>
      </c>
      <c r="AO58" s="20">
        <f>1444+500</f>
        <v>1944</v>
      </c>
      <c r="AP58" s="19">
        <v>200</v>
      </c>
      <c r="AQ58" s="19">
        <f>SUM(AO58:AP58)</f>
        <v>2144</v>
      </c>
      <c r="AR58" s="17"/>
      <c r="AS58" s="17"/>
      <c r="AT58" s="17"/>
      <c r="AU58" s="87">
        <f t="shared" ref="AU58:AW58" si="111">AO58-AR58</f>
        <v>1944</v>
      </c>
      <c r="AV58" s="17">
        <f t="shared" si="111"/>
        <v>200</v>
      </c>
      <c r="AW58" s="17">
        <f t="shared" si="111"/>
        <v>2144</v>
      </c>
      <c r="AX58" s="17">
        <f>AL58-AW58</f>
        <v>565</v>
      </c>
      <c r="AY58" s="197" t="s">
        <v>290</v>
      </c>
      <c r="AZ58" s="20">
        <f>1061+383</f>
        <v>1444</v>
      </c>
      <c r="BA58" s="19">
        <f>83+117</f>
        <v>200</v>
      </c>
      <c r="BB58" s="19">
        <f>SUM(AZ58:BA58)</f>
        <v>1644</v>
      </c>
      <c r="BC58" s="17"/>
      <c r="BD58" s="17"/>
      <c r="BE58" s="17"/>
      <c r="BF58" s="19">
        <f t="shared" si="18"/>
        <v>1444</v>
      </c>
      <c r="BG58" s="17">
        <f t="shared" si="18"/>
        <v>200</v>
      </c>
      <c r="BH58" s="17">
        <f t="shared" si="18"/>
        <v>1644</v>
      </c>
      <c r="BI58" s="198" t="s">
        <v>291</v>
      </c>
      <c r="BJ58" s="180">
        <v>1061</v>
      </c>
      <c r="BK58" s="181">
        <v>83</v>
      </c>
      <c r="BL58" s="181">
        <f>SUM(BJ58:BK58)</f>
        <v>1144</v>
      </c>
      <c r="BM58" s="182"/>
      <c r="BN58" s="182"/>
      <c r="BO58" s="182"/>
      <c r="BP58" s="17">
        <f t="shared" si="4"/>
        <v>1061</v>
      </c>
      <c r="BQ58" s="17">
        <f t="shared" si="4"/>
        <v>83</v>
      </c>
      <c r="BR58" s="17">
        <f t="shared" si="4"/>
        <v>1144</v>
      </c>
      <c r="BS58" s="183"/>
      <c r="BT58" s="2"/>
      <c r="BU58" s="2"/>
    </row>
    <row r="59" spans="1:73" s="5" customFormat="1" ht="27.6" customHeight="1" x14ac:dyDescent="0.25">
      <c r="A59" s="79"/>
      <c r="B59" s="80" t="s">
        <v>93</v>
      </c>
      <c r="C59" s="81"/>
      <c r="D59" s="82">
        <f>SUM(D58:D58)</f>
        <v>2660</v>
      </c>
      <c r="E59" s="16">
        <f>SUM(E58:E58)</f>
        <v>312</v>
      </c>
      <c r="F59" s="15">
        <f>SUM(F58:F58)</f>
        <v>2972</v>
      </c>
      <c r="G59" s="14"/>
      <c r="H59" s="14"/>
      <c r="I59" s="14"/>
      <c r="J59" s="15">
        <f>SUM(J58:J58)</f>
        <v>2660</v>
      </c>
      <c r="K59" s="15">
        <f>SUM(K58:K58)</f>
        <v>312</v>
      </c>
      <c r="L59" s="14">
        <f>SUM(L58:L58)</f>
        <v>2972</v>
      </c>
      <c r="M59" s="83"/>
      <c r="N59" s="82">
        <f>SUM(N58:N58)</f>
        <v>2700</v>
      </c>
      <c r="O59" s="16">
        <f>SUM(O58:O58)</f>
        <v>200</v>
      </c>
      <c r="P59" s="15">
        <f>SUM(P58:P58)</f>
        <v>2900</v>
      </c>
      <c r="Q59" s="14"/>
      <c r="R59" s="14"/>
      <c r="S59" s="14"/>
      <c r="T59" s="15">
        <f>SUM(T58:T58)</f>
        <v>2700</v>
      </c>
      <c r="U59" s="15">
        <f>SUM(U58:U58)</f>
        <v>200</v>
      </c>
      <c r="V59" s="14">
        <f>SUM(V58:V58)</f>
        <v>2900</v>
      </c>
      <c r="W59" s="167">
        <f>SUM(W58:W58)</f>
        <v>8</v>
      </c>
      <c r="X59" s="16">
        <f>SUM(X58)</f>
        <v>2700</v>
      </c>
      <c r="Y59" s="15">
        <f>SUM(Y58)</f>
        <v>192</v>
      </c>
      <c r="Z59" s="15">
        <f>SUM(Z58)</f>
        <v>2892</v>
      </c>
      <c r="AA59" s="26">
        <f>SUM(AA58)</f>
        <v>80</v>
      </c>
      <c r="AB59" s="83"/>
      <c r="AC59" s="16">
        <f>SUM(AC58:AC58)</f>
        <v>2525</v>
      </c>
      <c r="AD59" s="16">
        <f>SUM(AD58:AD58)</f>
        <v>200</v>
      </c>
      <c r="AE59" s="14">
        <f>SUM(AE58:AE58)</f>
        <v>2725</v>
      </c>
      <c r="AF59" s="168">
        <f>SUM(AF58:AF58)</f>
        <v>16</v>
      </c>
      <c r="AG59" s="26"/>
      <c r="AH59" s="14"/>
      <c r="AI59" s="14"/>
      <c r="AJ59" s="15">
        <f>SUM(AJ58:AJ58)</f>
        <v>2525</v>
      </c>
      <c r="AK59" s="15">
        <f>SUM(AK58:AK58)</f>
        <v>184</v>
      </c>
      <c r="AL59" s="15">
        <f>SUM(AL58:AL58)</f>
        <v>2709</v>
      </c>
      <c r="AM59" s="15">
        <f>SUM(AM58:AM58)</f>
        <v>191</v>
      </c>
      <c r="AN59" s="91"/>
      <c r="AO59" s="16">
        <f>SUM(AO58:AO58)</f>
        <v>1944</v>
      </c>
      <c r="AP59" s="16">
        <f>SUM(AP58:AP58)</f>
        <v>200</v>
      </c>
      <c r="AQ59" s="16">
        <f>SUM(AQ58:AQ58)</f>
        <v>2144</v>
      </c>
      <c r="AR59" s="14"/>
      <c r="AS59" s="14"/>
      <c r="AT59" s="14"/>
      <c r="AU59" s="82">
        <f>SUM(AU58:AU58)</f>
        <v>1944</v>
      </c>
      <c r="AV59" s="15">
        <f>SUM(AV58:AV58)</f>
        <v>200</v>
      </c>
      <c r="AW59" s="15">
        <f>SUM(AW58:AW58)</f>
        <v>2144</v>
      </c>
      <c r="AX59" s="15">
        <f>SUM(AX58:AX58)</f>
        <v>565</v>
      </c>
      <c r="AY59" s="169"/>
      <c r="AZ59" s="16">
        <f>SUM(AZ58)</f>
        <v>1444</v>
      </c>
      <c r="BA59" s="15">
        <f>SUM(BA58)</f>
        <v>200</v>
      </c>
      <c r="BB59" s="15">
        <f>SUM(BB58)</f>
        <v>1644</v>
      </c>
      <c r="BC59" s="14"/>
      <c r="BD59" s="14"/>
      <c r="BE59" s="14"/>
      <c r="BF59" s="15">
        <f t="shared" si="18"/>
        <v>1444</v>
      </c>
      <c r="BG59" s="14">
        <f t="shared" si="18"/>
        <v>200</v>
      </c>
      <c r="BH59" s="14">
        <f t="shared" si="18"/>
        <v>1644</v>
      </c>
      <c r="BI59" s="170"/>
      <c r="BJ59" s="171">
        <f>SUM(BJ58)</f>
        <v>1061</v>
      </c>
      <c r="BK59" s="172">
        <f>SUM(BK58)</f>
        <v>83</v>
      </c>
      <c r="BL59" s="172">
        <f>SUM(BL58)</f>
        <v>1144</v>
      </c>
      <c r="BM59" s="173"/>
      <c r="BN59" s="173"/>
      <c r="BO59" s="173"/>
      <c r="BP59" s="14">
        <f t="shared" si="4"/>
        <v>1061</v>
      </c>
      <c r="BQ59" s="14">
        <f t="shared" si="4"/>
        <v>83</v>
      </c>
      <c r="BR59" s="14">
        <f t="shared" si="4"/>
        <v>1144</v>
      </c>
      <c r="BS59" s="174"/>
      <c r="BT59" s="2"/>
      <c r="BU59" s="2"/>
    </row>
    <row r="60" spans="1:73" ht="89.25" customHeight="1" x14ac:dyDescent="0.25">
      <c r="A60" s="10" t="s">
        <v>181</v>
      </c>
      <c r="B60" s="9" t="s">
        <v>182</v>
      </c>
      <c r="C60" s="74" t="s">
        <v>183</v>
      </c>
      <c r="D60" s="71">
        <v>922</v>
      </c>
      <c r="E60" s="7">
        <v>380</v>
      </c>
      <c r="F60" s="7">
        <f>SUM(D60:E60)</f>
        <v>1302</v>
      </c>
      <c r="G60" s="6"/>
      <c r="H60" s="6"/>
      <c r="I60" s="6"/>
      <c r="J60" s="7">
        <f t="shared" ref="J60:L63" si="112">D60-G60</f>
        <v>922</v>
      </c>
      <c r="K60" s="6">
        <f t="shared" si="112"/>
        <v>380</v>
      </c>
      <c r="L60" s="6">
        <f t="shared" si="112"/>
        <v>1302</v>
      </c>
      <c r="M60" s="72"/>
      <c r="N60" s="71">
        <v>922</v>
      </c>
      <c r="O60" s="7">
        <v>396</v>
      </c>
      <c r="P60" s="7">
        <f>SUM(N60:O60)</f>
        <v>1318</v>
      </c>
      <c r="Q60" s="6"/>
      <c r="R60" s="6"/>
      <c r="S60" s="6"/>
      <c r="T60" s="7">
        <f t="shared" ref="T60:V63" si="113">N60-Q60</f>
        <v>922</v>
      </c>
      <c r="U60" s="6">
        <f t="shared" si="113"/>
        <v>396</v>
      </c>
      <c r="V60" s="6">
        <f t="shared" si="113"/>
        <v>1318</v>
      </c>
      <c r="W60" s="160">
        <v>16</v>
      </c>
      <c r="X60" s="8">
        <f>T60</f>
        <v>922</v>
      </c>
      <c r="Y60" s="7">
        <f>U60-W60</f>
        <v>380</v>
      </c>
      <c r="Z60" s="7">
        <f>X60+Y60</f>
        <v>1302</v>
      </c>
      <c r="AA60" s="22">
        <f>L60-Z60</f>
        <v>0</v>
      </c>
      <c r="AB60" s="72"/>
      <c r="AC60" s="8">
        <v>922</v>
      </c>
      <c r="AD60" s="7">
        <v>396</v>
      </c>
      <c r="AE60" s="6">
        <f>SUM(AC60:AD60)</f>
        <v>1318</v>
      </c>
      <c r="AF60" s="161">
        <v>31</v>
      </c>
      <c r="AG60" s="22"/>
      <c r="AH60" s="6"/>
      <c r="AI60" s="6"/>
      <c r="AJ60" s="7">
        <f t="shared" ref="AJ60" si="114">AC60-AG60</f>
        <v>922</v>
      </c>
      <c r="AK60" s="6">
        <f>AD60-AH60-AF60</f>
        <v>365</v>
      </c>
      <c r="AL60" s="7">
        <f>AE60-AI60-AF60</f>
        <v>1287</v>
      </c>
      <c r="AM60" s="6">
        <f>V60-AL60</f>
        <v>31</v>
      </c>
      <c r="AN60" s="72"/>
      <c r="AO60" s="8">
        <f>1322-400</f>
        <v>922</v>
      </c>
      <c r="AP60" s="7">
        <f>596-200</f>
        <v>396</v>
      </c>
      <c r="AQ60" s="7">
        <f>SUM(AO60:AP60)</f>
        <v>1318</v>
      </c>
      <c r="AR60" s="6"/>
      <c r="AS60" s="6"/>
      <c r="AT60" s="6"/>
      <c r="AU60" s="71">
        <f t="shared" ref="AU60:AW60" si="115">AO60-AR60</f>
        <v>922</v>
      </c>
      <c r="AV60" s="6">
        <f t="shared" si="115"/>
        <v>396</v>
      </c>
      <c r="AW60" s="6">
        <f t="shared" si="115"/>
        <v>1318</v>
      </c>
      <c r="AX60" s="17">
        <f>AL60-AW60</f>
        <v>-31</v>
      </c>
      <c r="AY60" s="73" t="s">
        <v>292</v>
      </c>
      <c r="AZ60" s="8">
        <f>1382-60</f>
        <v>1322</v>
      </c>
      <c r="BA60" s="7">
        <f>679-83</f>
        <v>596</v>
      </c>
      <c r="BB60" s="7">
        <f>SUM(AZ60:BA60)</f>
        <v>1918</v>
      </c>
      <c r="BC60" s="6"/>
      <c r="BD60" s="6"/>
      <c r="BE60" s="6"/>
      <c r="BF60" s="7">
        <f t="shared" si="18"/>
        <v>1322</v>
      </c>
      <c r="BG60" s="6">
        <f t="shared" si="18"/>
        <v>596</v>
      </c>
      <c r="BH60" s="6">
        <f t="shared" si="18"/>
        <v>1918</v>
      </c>
      <c r="BI60" s="162"/>
      <c r="BJ60" s="163">
        <f>1351+31</f>
        <v>1382</v>
      </c>
      <c r="BK60" s="164">
        <f>637+42</f>
        <v>679</v>
      </c>
      <c r="BL60" s="164">
        <f>SUM(BJ60:BK60)</f>
        <v>2061</v>
      </c>
      <c r="BM60" s="165"/>
      <c r="BN60" s="165"/>
      <c r="BO60" s="165"/>
      <c r="BP60" s="6">
        <f t="shared" si="4"/>
        <v>1382</v>
      </c>
      <c r="BQ60" s="6">
        <f t="shared" si="4"/>
        <v>679</v>
      </c>
      <c r="BR60" s="6">
        <f t="shared" si="4"/>
        <v>2061</v>
      </c>
      <c r="BS60" s="166" t="s">
        <v>293</v>
      </c>
      <c r="BT60" s="2"/>
      <c r="BU60" s="2"/>
    </row>
    <row r="61" spans="1:73" ht="48" customHeight="1" x14ac:dyDescent="0.25">
      <c r="A61" s="10" t="s">
        <v>219</v>
      </c>
      <c r="B61" s="9" t="s">
        <v>184</v>
      </c>
      <c r="C61" s="74" t="s">
        <v>183</v>
      </c>
      <c r="D61" s="71">
        <v>83</v>
      </c>
      <c r="E61" s="7">
        <v>92</v>
      </c>
      <c r="F61" s="7">
        <f>SUM(D61:E61)</f>
        <v>175</v>
      </c>
      <c r="G61" s="6"/>
      <c r="H61" s="6"/>
      <c r="I61" s="6"/>
      <c r="J61" s="7">
        <f t="shared" ref="J61:J62" si="116">D61-G61</f>
        <v>83</v>
      </c>
      <c r="K61" s="6">
        <f t="shared" ref="K61:K62" si="117">E61-H61</f>
        <v>92</v>
      </c>
      <c r="L61" s="7">
        <f t="shared" ref="L61:L62" si="118">F61-I61</f>
        <v>175</v>
      </c>
      <c r="M61" s="282" t="s">
        <v>375</v>
      </c>
      <c r="N61" s="71"/>
      <c r="O61" s="7"/>
      <c r="P61" s="7"/>
      <c r="Q61" s="6"/>
      <c r="R61" s="6"/>
      <c r="S61" s="6"/>
      <c r="T61" s="7"/>
      <c r="U61" s="6"/>
      <c r="V61" s="6"/>
      <c r="W61" s="160"/>
      <c r="X61" s="8"/>
      <c r="Y61" s="7"/>
      <c r="Z61" s="7"/>
      <c r="AA61" s="22"/>
      <c r="AB61" s="72"/>
      <c r="AC61" s="8"/>
      <c r="AD61" s="7"/>
      <c r="AE61" s="6"/>
      <c r="AF61" s="161"/>
      <c r="AG61" s="22"/>
      <c r="AH61" s="6"/>
      <c r="AI61" s="6"/>
      <c r="AJ61" s="7"/>
      <c r="AK61" s="6"/>
      <c r="AL61" s="6"/>
      <c r="AM61" s="6"/>
      <c r="AN61" s="72"/>
      <c r="AO61" s="8"/>
      <c r="AP61" s="7"/>
      <c r="AQ61" s="7"/>
      <c r="AR61" s="6"/>
      <c r="AS61" s="6"/>
      <c r="AT61" s="6"/>
      <c r="AU61" s="71"/>
      <c r="AV61" s="6"/>
      <c r="AW61" s="6"/>
      <c r="AX61" s="17"/>
      <c r="AY61" s="73"/>
      <c r="AZ61" s="8"/>
      <c r="BA61" s="7"/>
      <c r="BB61" s="7"/>
      <c r="BC61" s="6"/>
      <c r="BD61" s="6"/>
      <c r="BE61" s="6"/>
      <c r="BF61" s="7"/>
      <c r="BG61" s="6"/>
      <c r="BH61" s="6"/>
      <c r="BI61" s="162"/>
      <c r="BJ61" s="163"/>
      <c r="BK61" s="164"/>
      <c r="BL61" s="164"/>
      <c r="BM61" s="165"/>
      <c r="BN61" s="165"/>
      <c r="BO61" s="165"/>
      <c r="BP61" s="6"/>
      <c r="BQ61" s="6"/>
      <c r="BR61" s="6"/>
      <c r="BS61" s="166"/>
      <c r="BT61" s="2"/>
      <c r="BU61" s="2"/>
    </row>
    <row r="62" spans="1:73" ht="48" customHeight="1" x14ac:dyDescent="0.25">
      <c r="A62" s="11" t="s">
        <v>377</v>
      </c>
      <c r="B62" s="12" t="s">
        <v>376</v>
      </c>
      <c r="C62" s="70" t="s">
        <v>378</v>
      </c>
      <c r="D62" s="71">
        <v>1000</v>
      </c>
      <c r="E62" s="7">
        <v>0</v>
      </c>
      <c r="F62" s="7">
        <f>SUM(D62:E62)</f>
        <v>1000</v>
      </c>
      <c r="G62" s="6"/>
      <c r="H62" s="6"/>
      <c r="I62" s="6"/>
      <c r="J62" s="7">
        <f t="shared" si="116"/>
        <v>1000</v>
      </c>
      <c r="K62" s="6">
        <f t="shared" si="117"/>
        <v>0</v>
      </c>
      <c r="L62" s="7">
        <f t="shared" si="118"/>
        <v>1000</v>
      </c>
      <c r="M62" s="285" t="s">
        <v>379</v>
      </c>
      <c r="N62" s="71"/>
      <c r="O62" s="7"/>
      <c r="P62" s="7"/>
      <c r="Q62" s="6"/>
      <c r="R62" s="6"/>
      <c r="S62" s="6"/>
      <c r="T62" s="7"/>
      <c r="U62" s="6"/>
      <c r="V62" s="6"/>
      <c r="W62" s="160"/>
      <c r="X62" s="8"/>
      <c r="Y62" s="7"/>
      <c r="Z62" s="7"/>
      <c r="AA62" s="22"/>
      <c r="AB62" s="72"/>
      <c r="AC62" s="8"/>
      <c r="AD62" s="7"/>
      <c r="AE62" s="6"/>
      <c r="AF62" s="161"/>
      <c r="AG62" s="22"/>
      <c r="AH62" s="6"/>
      <c r="AI62" s="6"/>
      <c r="AJ62" s="7"/>
      <c r="AK62" s="6"/>
      <c r="AL62" s="6"/>
      <c r="AM62" s="6"/>
      <c r="AN62" s="72"/>
      <c r="AO62" s="8"/>
      <c r="AP62" s="7"/>
      <c r="AQ62" s="7"/>
      <c r="AR62" s="6"/>
      <c r="AS62" s="6"/>
      <c r="AT62" s="6"/>
      <c r="AU62" s="71"/>
      <c r="AV62" s="6"/>
      <c r="AW62" s="6"/>
      <c r="AX62" s="17"/>
      <c r="AY62" s="73"/>
      <c r="AZ62" s="8"/>
      <c r="BA62" s="7"/>
      <c r="BB62" s="7"/>
      <c r="BC62" s="6"/>
      <c r="BD62" s="6"/>
      <c r="BE62" s="6"/>
      <c r="BF62" s="7"/>
      <c r="BG62" s="6"/>
      <c r="BH62" s="6"/>
      <c r="BI62" s="162"/>
      <c r="BJ62" s="163"/>
      <c r="BK62" s="164"/>
      <c r="BL62" s="164"/>
      <c r="BM62" s="165"/>
      <c r="BN62" s="165"/>
      <c r="BO62" s="165"/>
      <c r="BP62" s="6"/>
      <c r="BQ62" s="6"/>
      <c r="BR62" s="6"/>
      <c r="BS62" s="166"/>
      <c r="BT62" s="2"/>
      <c r="BU62" s="2"/>
    </row>
    <row r="63" spans="1:73" ht="91.5" customHeight="1" x14ac:dyDescent="0.25">
      <c r="A63" s="286" t="s">
        <v>135</v>
      </c>
      <c r="B63" s="12" t="s">
        <v>380</v>
      </c>
      <c r="C63" s="70" t="s">
        <v>381</v>
      </c>
      <c r="D63" s="71">
        <v>780</v>
      </c>
      <c r="E63" s="7">
        <v>856</v>
      </c>
      <c r="F63" s="7">
        <f>SUM(D63:E63)</f>
        <v>1636</v>
      </c>
      <c r="G63" s="6"/>
      <c r="H63" s="6"/>
      <c r="I63" s="6"/>
      <c r="J63" s="7">
        <f t="shared" si="112"/>
        <v>780</v>
      </c>
      <c r="K63" s="6">
        <f t="shared" si="112"/>
        <v>856</v>
      </c>
      <c r="L63" s="7">
        <f t="shared" si="112"/>
        <v>1636</v>
      </c>
      <c r="M63" s="294" t="s">
        <v>408</v>
      </c>
      <c r="N63" s="71">
        <v>71</v>
      </c>
      <c r="O63" s="7">
        <v>80</v>
      </c>
      <c r="P63" s="7">
        <v>151</v>
      </c>
      <c r="Q63" s="6"/>
      <c r="R63" s="6"/>
      <c r="S63" s="6"/>
      <c r="T63" s="7">
        <f>N63-Q63</f>
        <v>71</v>
      </c>
      <c r="U63" s="6">
        <f t="shared" si="113"/>
        <v>80</v>
      </c>
      <c r="V63" s="6">
        <f>P63-S63</f>
        <v>151</v>
      </c>
      <c r="W63" s="160">
        <v>3</v>
      </c>
      <c r="X63" s="8">
        <f>T63</f>
        <v>71</v>
      </c>
      <c r="Y63" s="7">
        <f>U63-W63</f>
        <v>77</v>
      </c>
      <c r="Z63" s="7">
        <f>X63+Y63</f>
        <v>148</v>
      </c>
      <c r="AA63" s="22">
        <f>L63-Z63</f>
        <v>1488</v>
      </c>
      <c r="AB63" s="73" t="s">
        <v>294</v>
      </c>
      <c r="AC63" s="8"/>
      <c r="AD63" s="7"/>
      <c r="AE63" s="6"/>
      <c r="AF63" s="161"/>
      <c r="AG63" s="22"/>
      <c r="AH63" s="6"/>
      <c r="AI63" s="6"/>
      <c r="AJ63" s="7"/>
      <c r="AK63" s="6"/>
      <c r="AL63" s="6"/>
      <c r="AM63" s="6">
        <f>V63-AL63</f>
        <v>151</v>
      </c>
      <c r="AN63" s="72"/>
      <c r="AO63" s="8"/>
      <c r="AP63" s="7"/>
      <c r="AQ63" s="7"/>
      <c r="AR63" s="6"/>
      <c r="AS63" s="6"/>
      <c r="AT63" s="6"/>
      <c r="AU63" s="71"/>
      <c r="AV63" s="6"/>
      <c r="AW63" s="6"/>
      <c r="AX63" s="17"/>
      <c r="AY63" s="73"/>
      <c r="AZ63" s="8"/>
      <c r="BA63" s="7"/>
      <c r="BB63" s="7"/>
      <c r="BC63" s="6"/>
      <c r="BD63" s="6"/>
      <c r="BE63" s="6"/>
      <c r="BF63" s="7"/>
      <c r="BG63" s="6"/>
      <c r="BH63" s="6"/>
      <c r="BI63" s="162"/>
      <c r="BJ63" s="163"/>
      <c r="BK63" s="164"/>
      <c r="BL63" s="164"/>
      <c r="BM63" s="165"/>
      <c r="BN63" s="165"/>
      <c r="BO63" s="165"/>
      <c r="BP63" s="6"/>
      <c r="BQ63" s="6"/>
      <c r="BR63" s="6"/>
      <c r="BS63" s="166"/>
      <c r="BT63" s="2"/>
      <c r="BU63" s="2"/>
    </row>
    <row r="64" spans="1:73" s="5" customFormat="1" ht="25.5" x14ac:dyDescent="0.25">
      <c r="A64" s="79"/>
      <c r="B64" s="80" t="s">
        <v>185</v>
      </c>
      <c r="C64" s="81"/>
      <c r="D64" s="82">
        <f>SUM(D60:D63)</f>
        <v>2785</v>
      </c>
      <c r="E64" s="16">
        <f>SUM(E60:E63)</f>
        <v>1328</v>
      </c>
      <c r="F64" s="15">
        <f>SUM(F60:F63)</f>
        <v>4113</v>
      </c>
      <c r="G64" s="14"/>
      <c r="H64" s="14"/>
      <c r="I64" s="14"/>
      <c r="J64" s="15">
        <f>SUM(J60:J63)</f>
        <v>2785</v>
      </c>
      <c r="K64" s="15">
        <f>SUM(K60:K63)</f>
        <v>1328</v>
      </c>
      <c r="L64" s="14">
        <f>SUM(L60:L63)</f>
        <v>4113</v>
      </c>
      <c r="M64" s="83"/>
      <c r="N64" s="82">
        <f>SUM(N60:N63)</f>
        <v>993</v>
      </c>
      <c r="O64" s="16">
        <f>SUM(O60:O63)</f>
        <v>476</v>
      </c>
      <c r="P64" s="15">
        <f>SUM(P60:P63)</f>
        <v>1469</v>
      </c>
      <c r="Q64" s="14"/>
      <c r="R64" s="14"/>
      <c r="S64" s="14"/>
      <c r="T64" s="15">
        <f t="shared" ref="T64:AA64" si="119">SUM(T60:T63)</f>
        <v>993</v>
      </c>
      <c r="U64" s="15">
        <f t="shared" si="119"/>
        <v>476</v>
      </c>
      <c r="V64" s="14">
        <f t="shared" si="119"/>
        <v>1469</v>
      </c>
      <c r="W64" s="167">
        <f t="shared" si="119"/>
        <v>19</v>
      </c>
      <c r="X64" s="16">
        <f t="shared" si="119"/>
        <v>993</v>
      </c>
      <c r="Y64" s="15">
        <f t="shared" si="119"/>
        <v>457</v>
      </c>
      <c r="Z64" s="15">
        <f t="shared" si="119"/>
        <v>1450</v>
      </c>
      <c r="AA64" s="26">
        <f t="shared" si="119"/>
        <v>1488</v>
      </c>
      <c r="AB64" s="83"/>
      <c r="AC64" s="16">
        <f>SUM(AC60:AC63)</f>
        <v>922</v>
      </c>
      <c r="AD64" s="16">
        <f>SUM(AD60:AD63)</f>
        <v>396</v>
      </c>
      <c r="AE64" s="14">
        <f>SUM(AE60:AE63)</f>
        <v>1318</v>
      </c>
      <c r="AF64" s="168">
        <f>SUM(AF60:AF63)</f>
        <v>31</v>
      </c>
      <c r="AG64" s="26"/>
      <c r="AH64" s="14"/>
      <c r="AI64" s="14"/>
      <c r="AJ64" s="15">
        <f>SUM(AJ60:AJ63)</f>
        <v>922</v>
      </c>
      <c r="AK64" s="15">
        <f>SUM(AK60:AK63)</f>
        <v>365</v>
      </c>
      <c r="AL64" s="15">
        <f>SUM(AL60:AL63)</f>
        <v>1287</v>
      </c>
      <c r="AM64" s="14">
        <f>SUM(AM60:AM63)</f>
        <v>182</v>
      </c>
      <c r="AN64" s="83"/>
      <c r="AO64" s="16">
        <f>SUM(AO60:AO63)</f>
        <v>922</v>
      </c>
      <c r="AP64" s="16">
        <f>SUM(AP60:AP63)</f>
        <v>396</v>
      </c>
      <c r="AQ64" s="16">
        <f>SUM(AQ60:AQ63)</f>
        <v>1318</v>
      </c>
      <c r="AR64" s="14"/>
      <c r="AS64" s="14"/>
      <c r="AT64" s="14"/>
      <c r="AU64" s="82">
        <f>SUM(AU60:AU63)</f>
        <v>922</v>
      </c>
      <c r="AV64" s="15">
        <f>SUM(AV60:AV63)</f>
        <v>396</v>
      </c>
      <c r="AW64" s="15">
        <f>SUM(AW60:AW63)</f>
        <v>1318</v>
      </c>
      <c r="AX64" s="15">
        <f>SUM(AX60:AX63)</f>
        <v>-31</v>
      </c>
      <c r="AY64" s="169"/>
      <c r="AZ64" s="16">
        <f>SUM(AZ60)</f>
        <v>1322</v>
      </c>
      <c r="BA64" s="15">
        <f>SUM(BA60)</f>
        <v>596</v>
      </c>
      <c r="BB64" s="15">
        <f>SUM(BB60)</f>
        <v>1918</v>
      </c>
      <c r="BC64" s="14"/>
      <c r="BD64" s="14"/>
      <c r="BE64" s="14"/>
      <c r="BF64" s="15">
        <f t="shared" si="18"/>
        <v>1322</v>
      </c>
      <c r="BG64" s="14">
        <f t="shared" si="18"/>
        <v>596</v>
      </c>
      <c r="BH64" s="14">
        <f t="shared" si="18"/>
        <v>1918</v>
      </c>
      <c r="BI64" s="170"/>
      <c r="BJ64" s="171">
        <f>SUM(BJ60)</f>
        <v>1382</v>
      </c>
      <c r="BK64" s="172">
        <f>SUM(BK60)</f>
        <v>679</v>
      </c>
      <c r="BL64" s="172">
        <f>SUM(BL60)</f>
        <v>2061</v>
      </c>
      <c r="BM64" s="173"/>
      <c r="BN64" s="173"/>
      <c r="BO64" s="173"/>
      <c r="BP64" s="14">
        <f t="shared" si="4"/>
        <v>1382</v>
      </c>
      <c r="BQ64" s="14">
        <f t="shared" si="4"/>
        <v>679</v>
      </c>
      <c r="BR64" s="14">
        <f t="shared" si="4"/>
        <v>2061</v>
      </c>
      <c r="BS64" s="174"/>
      <c r="BT64" s="2"/>
      <c r="BU64" s="2"/>
    </row>
    <row r="65" spans="1:73" s="18" customFormat="1" ht="54" customHeight="1" x14ac:dyDescent="0.25">
      <c r="A65" s="88" t="s">
        <v>186</v>
      </c>
      <c r="B65" s="85" t="s">
        <v>6</v>
      </c>
      <c r="C65" s="74" t="s">
        <v>18</v>
      </c>
      <c r="D65" s="71">
        <v>12127</v>
      </c>
      <c r="E65" s="7">
        <v>6733</v>
      </c>
      <c r="F65" s="7">
        <f>SUM(D65:E65)</f>
        <v>18860</v>
      </c>
      <c r="G65" s="6">
        <v>1213</v>
      </c>
      <c r="H65" s="6">
        <f>E65*5%</f>
        <v>336.65000000000003</v>
      </c>
      <c r="I65" s="6">
        <f>SUM(G65:H65)</f>
        <v>1549.65</v>
      </c>
      <c r="J65" s="7">
        <f>D65-G65</f>
        <v>10914</v>
      </c>
      <c r="K65" s="6">
        <f>E65-H65</f>
        <v>6396.35</v>
      </c>
      <c r="L65" s="7">
        <f>F65-I65</f>
        <v>17310.349999999999</v>
      </c>
      <c r="M65" s="103"/>
      <c r="N65" s="87">
        <v>12127</v>
      </c>
      <c r="O65" s="19">
        <v>7015</v>
      </c>
      <c r="P65" s="19">
        <f>SUM(N65:O65)</f>
        <v>19142</v>
      </c>
      <c r="Q65" s="6">
        <f>N65*10%</f>
        <v>1212.7</v>
      </c>
      <c r="R65" s="6">
        <f>O65*5%</f>
        <v>350.75</v>
      </c>
      <c r="S65" s="6">
        <f>SUM(Q65:R65)+1</f>
        <v>1564.45</v>
      </c>
      <c r="T65" s="19">
        <f>N65-Q65</f>
        <v>10914.3</v>
      </c>
      <c r="U65" s="17">
        <f>O65-R65</f>
        <v>6664.25</v>
      </c>
      <c r="V65" s="17">
        <f>P65-S65</f>
        <v>17577.55</v>
      </c>
      <c r="W65" s="177">
        <v>268</v>
      </c>
      <c r="X65" s="20">
        <f>T65</f>
        <v>10914.3</v>
      </c>
      <c r="Y65" s="19">
        <f>U65-W65</f>
        <v>6396.25</v>
      </c>
      <c r="Z65" s="19">
        <f>X65+Y65-1</f>
        <v>17309.55</v>
      </c>
      <c r="AA65" s="199">
        <v>0</v>
      </c>
      <c r="AB65" s="90" t="s">
        <v>295</v>
      </c>
      <c r="AC65" s="20">
        <v>9872</v>
      </c>
      <c r="AD65" s="19">
        <v>7015</v>
      </c>
      <c r="AE65" s="17">
        <f t="shared" ref="AE65:AE69" si="120">SUM(AC65:AD65)</f>
        <v>16887</v>
      </c>
      <c r="AF65" s="196">
        <f>545+1</f>
        <v>546</v>
      </c>
      <c r="AG65" s="22">
        <v>987</v>
      </c>
      <c r="AH65" s="6">
        <f>324-1</f>
        <v>323</v>
      </c>
      <c r="AI65" s="6">
        <f>SUM(AG65:AH65)</f>
        <v>1310</v>
      </c>
      <c r="AJ65" s="19">
        <f t="shared" ref="AJ65:AL69" si="121">AC65-AG65</f>
        <v>8885</v>
      </c>
      <c r="AK65" s="17">
        <f>AD65-AH65-AF65</f>
        <v>6146</v>
      </c>
      <c r="AL65" s="17">
        <f>AE65-AI65-AF65</f>
        <v>15031</v>
      </c>
      <c r="AM65" s="17">
        <f>V65-AL65</f>
        <v>2546.5499999999993</v>
      </c>
      <c r="AN65" s="90" t="s">
        <v>296</v>
      </c>
      <c r="AO65" s="20">
        <v>8971</v>
      </c>
      <c r="AP65" s="19">
        <v>6518</v>
      </c>
      <c r="AQ65" s="19">
        <f>SUM(AO65:AP65)</f>
        <v>15489</v>
      </c>
      <c r="AR65" s="17">
        <f>AO65*10%</f>
        <v>897.1</v>
      </c>
      <c r="AS65" s="17">
        <f>AP65*5%</f>
        <v>325.90000000000003</v>
      </c>
      <c r="AT65" s="17">
        <f>SUM(AR65:AS65)</f>
        <v>1223</v>
      </c>
      <c r="AU65" s="87">
        <f t="shared" ref="AU65:AW69" si="122">AO65-AR65</f>
        <v>8073.9</v>
      </c>
      <c r="AV65" s="17">
        <f t="shared" si="122"/>
        <v>6192.1</v>
      </c>
      <c r="AW65" s="17">
        <f t="shared" si="122"/>
        <v>14266</v>
      </c>
      <c r="AX65" s="17">
        <f t="shared" ref="AX65:AX69" si="123">AL65-AW65</f>
        <v>765</v>
      </c>
      <c r="AY65" s="78"/>
      <c r="AZ65" s="20">
        <v>8971</v>
      </c>
      <c r="BA65" s="19">
        <v>6518</v>
      </c>
      <c r="BB65" s="19">
        <f>SUM(AZ65:BA65)</f>
        <v>15489</v>
      </c>
      <c r="BC65" s="17">
        <v>897</v>
      </c>
      <c r="BD65" s="17">
        <v>326</v>
      </c>
      <c r="BE65" s="17">
        <f>SUM(BC65:BD65)</f>
        <v>1223</v>
      </c>
      <c r="BF65" s="19">
        <f t="shared" si="18"/>
        <v>8074</v>
      </c>
      <c r="BG65" s="17">
        <f t="shared" si="18"/>
        <v>6192</v>
      </c>
      <c r="BH65" s="17">
        <f t="shared" si="18"/>
        <v>14266</v>
      </c>
      <c r="BI65" s="179" t="s">
        <v>297</v>
      </c>
      <c r="BJ65" s="180">
        <v>6632</v>
      </c>
      <c r="BK65" s="181">
        <v>5634</v>
      </c>
      <c r="BL65" s="181">
        <f>SUM(BJ65:BK65)</f>
        <v>12266</v>
      </c>
      <c r="BM65" s="182">
        <v>737</v>
      </c>
      <c r="BN65" s="182">
        <v>297</v>
      </c>
      <c r="BO65" s="182">
        <f>SUM(BM65:BN65)</f>
        <v>1034</v>
      </c>
      <c r="BP65" s="17">
        <f t="shared" si="4"/>
        <v>7369</v>
      </c>
      <c r="BQ65" s="17">
        <f t="shared" si="4"/>
        <v>5931</v>
      </c>
      <c r="BR65" s="17">
        <f t="shared" si="4"/>
        <v>13300</v>
      </c>
      <c r="BS65" s="183"/>
      <c r="BT65" s="2"/>
      <c r="BU65" s="2"/>
    </row>
    <row r="66" spans="1:73" ht="169.5" customHeight="1" x14ac:dyDescent="0.25">
      <c r="A66" s="10" t="s">
        <v>187</v>
      </c>
      <c r="B66" s="9" t="s">
        <v>19</v>
      </c>
      <c r="C66" s="74" t="s">
        <v>18</v>
      </c>
      <c r="D66" s="71">
        <v>0</v>
      </c>
      <c r="E66" s="7">
        <v>4250</v>
      </c>
      <c r="F66" s="19">
        <f>SUM(D66:E66)</f>
        <v>4250</v>
      </c>
      <c r="G66" s="6"/>
      <c r="H66" s="6"/>
      <c r="I66" s="6"/>
      <c r="J66" s="19">
        <f>D66-G66</f>
        <v>0</v>
      </c>
      <c r="K66" s="17">
        <f t="shared" ref="K66:L76" si="124">E66-H66</f>
        <v>4250</v>
      </c>
      <c r="L66" s="17">
        <f t="shared" si="124"/>
        <v>4250</v>
      </c>
      <c r="M66" s="90" t="s">
        <v>382</v>
      </c>
      <c r="N66" s="71">
        <v>0</v>
      </c>
      <c r="O66" s="7">
        <v>4200</v>
      </c>
      <c r="P66" s="19">
        <f>SUM(N66:O66)</f>
        <v>4200</v>
      </c>
      <c r="Q66" s="6"/>
      <c r="R66" s="6"/>
      <c r="S66" s="6"/>
      <c r="T66" s="19">
        <f t="shared" ref="T66:V73" si="125">N66-Q66</f>
        <v>0</v>
      </c>
      <c r="U66" s="17">
        <f t="shared" si="125"/>
        <v>4200</v>
      </c>
      <c r="V66" s="17">
        <f t="shared" si="125"/>
        <v>4200</v>
      </c>
      <c r="W66" s="177"/>
      <c r="X66" s="20">
        <f t="shared" ref="X66:X73" si="126">T66</f>
        <v>0</v>
      </c>
      <c r="Y66" s="19">
        <f t="shared" ref="Y66:Y73" si="127">U66-W66</f>
        <v>4200</v>
      </c>
      <c r="Z66" s="19">
        <f t="shared" ref="Z66:Z73" si="128">X66+Y66</f>
        <v>4200</v>
      </c>
      <c r="AA66" s="21">
        <f t="shared" ref="AA66:AA76" si="129">L66-Z66</f>
        <v>50</v>
      </c>
      <c r="AB66" s="90" t="s">
        <v>220</v>
      </c>
      <c r="AC66" s="8">
        <v>0</v>
      </c>
      <c r="AD66" s="7">
        <v>4200</v>
      </c>
      <c r="AE66" s="17">
        <f t="shared" si="120"/>
        <v>4200</v>
      </c>
      <c r="AF66" s="196"/>
      <c r="AG66" s="22"/>
      <c r="AH66" s="6"/>
      <c r="AI66" s="6"/>
      <c r="AJ66" s="19">
        <f t="shared" si="121"/>
        <v>0</v>
      </c>
      <c r="AK66" s="17">
        <f t="shared" si="121"/>
        <v>4200</v>
      </c>
      <c r="AL66" s="17">
        <f t="shared" si="121"/>
        <v>4200</v>
      </c>
      <c r="AM66" s="17">
        <f t="shared" ref="AM66:AM73" si="130">V66-AL66</f>
        <v>0</v>
      </c>
      <c r="AN66" s="90" t="s">
        <v>298</v>
      </c>
      <c r="AO66" s="8">
        <v>0</v>
      </c>
      <c r="AP66" s="7">
        <v>4150</v>
      </c>
      <c r="AQ66" s="19">
        <f>SUM(AO66:AP66)</f>
        <v>4150</v>
      </c>
      <c r="AR66" s="6"/>
      <c r="AS66" s="6"/>
      <c r="AT66" s="6"/>
      <c r="AU66" s="87">
        <f t="shared" si="122"/>
        <v>0</v>
      </c>
      <c r="AV66" s="17">
        <f t="shared" si="122"/>
        <v>4150</v>
      </c>
      <c r="AW66" s="17">
        <f t="shared" si="122"/>
        <v>4150</v>
      </c>
      <c r="AX66" s="17">
        <f t="shared" si="123"/>
        <v>50</v>
      </c>
      <c r="AY66" s="200" t="s">
        <v>299</v>
      </c>
      <c r="AZ66" s="8">
        <v>0</v>
      </c>
      <c r="BA66" s="7">
        <f>4250-100</f>
        <v>4150</v>
      </c>
      <c r="BB66" s="7">
        <f>SUM(AZ66:BA66)</f>
        <v>4150</v>
      </c>
      <c r="BC66" s="6"/>
      <c r="BD66" s="6"/>
      <c r="BE66" s="6"/>
      <c r="BF66" s="7">
        <f t="shared" si="18"/>
        <v>0</v>
      </c>
      <c r="BG66" s="6">
        <f t="shared" si="18"/>
        <v>4150</v>
      </c>
      <c r="BH66" s="6">
        <f t="shared" si="18"/>
        <v>4150</v>
      </c>
      <c r="BI66" s="176" t="s">
        <v>300</v>
      </c>
      <c r="BJ66" s="163">
        <v>0</v>
      </c>
      <c r="BK66" s="164">
        <v>4350</v>
      </c>
      <c r="BL66" s="164">
        <f>SUM(BJ66:BK66)</f>
        <v>4350</v>
      </c>
      <c r="BM66" s="165"/>
      <c r="BN66" s="165"/>
      <c r="BO66" s="165"/>
      <c r="BP66" s="6">
        <f t="shared" si="4"/>
        <v>0</v>
      </c>
      <c r="BQ66" s="6">
        <f t="shared" si="4"/>
        <v>4350</v>
      </c>
      <c r="BR66" s="6">
        <f t="shared" si="4"/>
        <v>4350</v>
      </c>
      <c r="BS66" s="201"/>
      <c r="BT66" s="2"/>
      <c r="BU66" s="2"/>
    </row>
    <row r="67" spans="1:73" s="18" customFormat="1" ht="128.25" customHeight="1" x14ac:dyDescent="0.25">
      <c r="A67" s="88" t="s">
        <v>188</v>
      </c>
      <c r="B67" s="9" t="s">
        <v>20</v>
      </c>
      <c r="C67" s="86" t="s">
        <v>18</v>
      </c>
      <c r="D67" s="87">
        <v>44420</v>
      </c>
      <c r="E67" s="19">
        <v>0</v>
      </c>
      <c r="F67" s="19">
        <f>SUM(D67:E67)</f>
        <v>44420</v>
      </c>
      <c r="G67" s="17"/>
      <c r="H67" s="17"/>
      <c r="I67" s="17"/>
      <c r="J67" s="19">
        <f>D67-G67</f>
        <v>44420</v>
      </c>
      <c r="K67" s="17">
        <f t="shared" si="124"/>
        <v>0</v>
      </c>
      <c r="L67" s="19">
        <f t="shared" si="124"/>
        <v>44420</v>
      </c>
      <c r="M67" s="275" t="s">
        <v>345</v>
      </c>
      <c r="N67" s="87">
        <v>44420</v>
      </c>
      <c r="O67" s="19">
        <v>0</v>
      </c>
      <c r="P67" s="19">
        <f>SUM(N67:O67)</f>
        <v>44420</v>
      </c>
      <c r="Q67" s="17"/>
      <c r="R67" s="17"/>
      <c r="S67" s="17"/>
      <c r="T67" s="19">
        <f t="shared" si="125"/>
        <v>44420</v>
      </c>
      <c r="U67" s="17">
        <f t="shared" si="125"/>
        <v>0</v>
      </c>
      <c r="V67" s="17">
        <f t="shared" si="125"/>
        <v>44420</v>
      </c>
      <c r="W67" s="177"/>
      <c r="X67" s="20">
        <f t="shared" si="126"/>
        <v>44420</v>
      </c>
      <c r="Y67" s="19">
        <f t="shared" si="127"/>
        <v>0</v>
      </c>
      <c r="Z67" s="19">
        <f t="shared" si="128"/>
        <v>44420</v>
      </c>
      <c r="AA67" s="21">
        <f t="shared" si="129"/>
        <v>0</v>
      </c>
      <c r="AB67" s="78" t="s">
        <v>301</v>
      </c>
      <c r="AC67" s="20">
        <v>44420</v>
      </c>
      <c r="AD67" s="19">
        <v>0</v>
      </c>
      <c r="AE67" s="17">
        <f t="shared" si="120"/>
        <v>44420</v>
      </c>
      <c r="AF67" s="196"/>
      <c r="AG67" s="21"/>
      <c r="AH67" s="17"/>
      <c r="AI67" s="17"/>
      <c r="AJ67" s="19">
        <f t="shared" si="121"/>
        <v>44420</v>
      </c>
      <c r="AK67" s="17">
        <f t="shared" si="121"/>
        <v>0</v>
      </c>
      <c r="AL67" s="17">
        <f t="shared" si="121"/>
        <v>44420</v>
      </c>
      <c r="AM67" s="17">
        <f t="shared" si="130"/>
        <v>0</v>
      </c>
      <c r="AN67" s="78" t="s">
        <v>302</v>
      </c>
      <c r="AO67" s="20">
        <v>44420</v>
      </c>
      <c r="AP67" s="19">
        <v>0</v>
      </c>
      <c r="AQ67" s="19">
        <f>SUM(AO67:AP67)</f>
        <v>44420</v>
      </c>
      <c r="AR67" s="17"/>
      <c r="AS67" s="17"/>
      <c r="AT67" s="17"/>
      <c r="AU67" s="87">
        <f t="shared" si="122"/>
        <v>44420</v>
      </c>
      <c r="AV67" s="17">
        <f t="shared" si="122"/>
        <v>0</v>
      </c>
      <c r="AW67" s="17">
        <f t="shared" si="122"/>
        <v>44420</v>
      </c>
      <c r="AX67" s="19">
        <f t="shared" si="123"/>
        <v>0</v>
      </c>
      <c r="AY67" s="202"/>
      <c r="AZ67" s="20">
        <f>37233+6217+970</f>
        <v>44420</v>
      </c>
      <c r="BA67" s="19"/>
      <c r="BB67" s="19">
        <f>SUM(AZ67:BA67)</f>
        <v>44420</v>
      </c>
      <c r="BC67" s="17"/>
      <c r="BD67" s="17"/>
      <c r="BE67" s="17"/>
      <c r="BF67" s="19">
        <f t="shared" si="18"/>
        <v>44420</v>
      </c>
      <c r="BG67" s="17">
        <f t="shared" si="18"/>
        <v>0</v>
      </c>
      <c r="BH67" s="17">
        <f t="shared" si="18"/>
        <v>44420</v>
      </c>
      <c r="BI67" s="323" t="s">
        <v>303</v>
      </c>
      <c r="BJ67" s="180">
        <v>37233</v>
      </c>
      <c r="BK67" s="181">
        <v>0</v>
      </c>
      <c r="BL67" s="181">
        <f>SUM(BJ67:BK67)</f>
        <v>37233</v>
      </c>
      <c r="BM67" s="182"/>
      <c r="BN67" s="182"/>
      <c r="BO67" s="182"/>
      <c r="BP67" s="17">
        <f t="shared" si="4"/>
        <v>37233</v>
      </c>
      <c r="BQ67" s="17">
        <f t="shared" si="4"/>
        <v>0</v>
      </c>
      <c r="BR67" s="17">
        <f t="shared" si="4"/>
        <v>37233</v>
      </c>
      <c r="BS67" s="183"/>
      <c r="BT67" s="2"/>
      <c r="BU67" s="2"/>
    </row>
    <row r="68" spans="1:73" s="18" customFormat="1" ht="89.25" customHeight="1" x14ac:dyDescent="0.25">
      <c r="A68" s="88" t="s">
        <v>189</v>
      </c>
      <c r="B68" s="9" t="s">
        <v>21</v>
      </c>
      <c r="C68" s="86" t="s">
        <v>18</v>
      </c>
      <c r="D68" s="71">
        <v>15601</v>
      </c>
      <c r="E68" s="7">
        <v>1700</v>
      </c>
      <c r="F68" s="7">
        <f>SUM(D68:E68)</f>
        <v>17301</v>
      </c>
      <c r="G68" s="6"/>
      <c r="H68" s="6"/>
      <c r="I68" s="6"/>
      <c r="J68" s="7">
        <f>D68-G68</f>
        <v>15601</v>
      </c>
      <c r="K68" s="6">
        <f t="shared" si="124"/>
        <v>1700</v>
      </c>
      <c r="L68" s="6">
        <f t="shared" si="124"/>
        <v>17301</v>
      </c>
      <c r="M68" s="287" t="s">
        <v>383</v>
      </c>
      <c r="N68" s="87">
        <v>15601</v>
      </c>
      <c r="O68" s="19">
        <v>1700</v>
      </c>
      <c r="P68" s="19">
        <f>SUM(N68:O68)</f>
        <v>17301</v>
      </c>
      <c r="Q68" s="17"/>
      <c r="R68" s="17"/>
      <c r="S68" s="17"/>
      <c r="T68" s="19">
        <f t="shared" si="125"/>
        <v>15601</v>
      </c>
      <c r="U68" s="17">
        <f t="shared" si="125"/>
        <v>1700</v>
      </c>
      <c r="V68" s="17">
        <f t="shared" si="125"/>
        <v>17301</v>
      </c>
      <c r="W68" s="177"/>
      <c r="X68" s="20">
        <f t="shared" si="126"/>
        <v>15601</v>
      </c>
      <c r="Y68" s="19">
        <f t="shared" si="127"/>
        <v>1700</v>
      </c>
      <c r="Z68" s="19">
        <f t="shared" si="128"/>
        <v>17301</v>
      </c>
      <c r="AA68" s="21">
        <f t="shared" si="129"/>
        <v>0</v>
      </c>
      <c r="AB68" s="203" t="s">
        <v>304</v>
      </c>
      <c r="AC68" s="20">
        <f>14610+1954</f>
        <v>16564</v>
      </c>
      <c r="AD68" s="19">
        <v>0</v>
      </c>
      <c r="AE68" s="17">
        <f t="shared" si="120"/>
        <v>16564</v>
      </c>
      <c r="AF68" s="196"/>
      <c r="AG68" s="21"/>
      <c r="AH68" s="17"/>
      <c r="AI68" s="17"/>
      <c r="AJ68" s="19">
        <f t="shared" si="121"/>
        <v>16564</v>
      </c>
      <c r="AK68" s="17">
        <f t="shared" si="121"/>
        <v>0</v>
      </c>
      <c r="AL68" s="17">
        <f t="shared" si="121"/>
        <v>16564</v>
      </c>
      <c r="AM68" s="17">
        <f t="shared" si="130"/>
        <v>737</v>
      </c>
      <c r="AN68" s="203" t="s">
        <v>305</v>
      </c>
      <c r="AO68" s="20">
        <v>14610</v>
      </c>
      <c r="AP68" s="19">
        <v>0</v>
      </c>
      <c r="AQ68" s="19">
        <f>SUM(AO68:AP68)</f>
        <v>14610</v>
      </c>
      <c r="AR68" s="17"/>
      <c r="AS68" s="17"/>
      <c r="AT68" s="17"/>
      <c r="AU68" s="87">
        <f t="shared" si="122"/>
        <v>14610</v>
      </c>
      <c r="AV68" s="17">
        <f t="shared" si="122"/>
        <v>0</v>
      </c>
      <c r="AW68" s="17">
        <f t="shared" si="122"/>
        <v>14610</v>
      </c>
      <c r="AX68" s="19">
        <f t="shared" si="123"/>
        <v>1954</v>
      </c>
      <c r="AY68" s="78"/>
      <c r="AZ68" s="20">
        <f>17442-2832</f>
        <v>14610</v>
      </c>
      <c r="BA68" s="19"/>
      <c r="BB68" s="19">
        <f>SUM(AZ68:BA68)</f>
        <v>14610</v>
      </c>
      <c r="BC68" s="17"/>
      <c r="BD68" s="17"/>
      <c r="BE68" s="17"/>
      <c r="BF68" s="19">
        <f t="shared" si="18"/>
        <v>14610</v>
      </c>
      <c r="BG68" s="17">
        <f t="shared" si="18"/>
        <v>0</v>
      </c>
      <c r="BH68" s="17">
        <f t="shared" si="18"/>
        <v>14610</v>
      </c>
      <c r="BI68" s="324"/>
      <c r="BJ68" s="180">
        <v>17442</v>
      </c>
      <c r="BK68" s="181">
        <v>0</v>
      </c>
      <c r="BL68" s="181">
        <f>SUM(BJ68:BK68)</f>
        <v>17442</v>
      </c>
      <c r="BM68" s="182"/>
      <c r="BN68" s="182"/>
      <c r="BO68" s="182"/>
      <c r="BP68" s="17">
        <f t="shared" si="4"/>
        <v>17442</v>
      </c>
      <c r="BQ68" s="17">
        <f t="shared" si="4"/>
        <v>0</v>
      </c>
      <c r="BR68" s="17">
        <f t="shared" si="4"/>
        <v>17442</v>
      </c>
      <c r="BS68" s="183"/>
      <c r="BT68" s="2"/>
      <c r="BU68" s="2"/>
    </row>
    <row r="69" spans="1:73" s="18" customFormat="1" ht="30" customHeight="1" x14ac:dyDescent="0.25">
      <c r="A69" s="88" t="s">
        <v>190</v>
      </c>
      <c r="B69" s="9" t="s">
        <v>22</v>
      </c>
      <c r="C69" s="86" t="s">
        <v>18</v>
      </c>
      <c r="D69" s="87">
        <v>500</v>
      </c>
      <c r="E69" s="19">
        <v>0</v>
      </c>
      <c r="F69" s="19">
        <f>SUM(D69:E69)</f>
        <v>500</v>
      </c>
      <c r="G69" s="17"/>
      <c r="H69" s="17"/>
      <c r="I69" s="17"/>
      <c r="J69" s="19">
        <f>D69-G69</f>
        <v>500</v>
      </c>
      <c r="K69" s="17">
        <f t="shared" si="124"/>
        <v>0</v>
      </c>
      <c r="L69" s="19">
        <f t="shared" si="124"/>
        <v>500</v>
      </c>
      <c r="M69" s="104"/>
      <c r="N69" s="87">
        <v>500</v>
      </c>
      <c r="O69" s="19">
        <v>0</v>
      </c>
      <c r="P69" s="19">
        <f>SUM(N69:O69)</f>
        <v>500</v>
      </c>
      <c r="Q69" s="17"/>
      <c r="R69" s="17"/>
      <c r="S69" s="17"/>
      <c r="T69" s="19">
        <f>N69-Q69</f>
        <v>500</v>
      </c>
      <c r="U69" s="17">
        <f t="shared" si="125"/>
        <v>0</v>
      </c>
      <c r="V69" s="17">
        <f t="shared" si="125"/>
        <v>500</v>
      </c>
      <c r="W69" s="177"/>
      <c r="X69" s="20">
        <f t="shared" si="126"/>
        <v>500</v>
      </c>
      <c r="Y69" s="19">
        <f t="shared" si="127"/>
        <v>0</v>
      </c>
      <c r="Z69" s="19">
        <f t="shared" si="128"/>
        <v>500</v>
      </c>
      <c r="AA69" s="21">
        <f t="shared" si="129"/>
        <v>0</v>
      </c>
      <c r="AB69" s="178"/>
      <c r="AC69" s="20">
        <v>500</v>
      </c>
      <c r="AD69" s="19">
        <v>0</v>
      </c>
      <c r="AE69" s="17">
        <f t="shared" si="120"/>
        <v>500</v>
      </c>
      <c r="AF69" s="196"/>
      <c r="AG69" s="21"/>
      <c r="AH69" s="17"/>
      <c r="AI69" s="17"/>
      <c r="AJ69" s="19">
        <f t="shared" si="121"/>
        <v>500</v>
      </c>
      <c r="AK69" s="17">
        <f t="shared" si="121"/>
        <v>0</v>
      </c>
      <c r="AL69" s="17">
        <f t="shared" si="121"/>
        <v>500</v>
      </c>
      <c r="AM69" s="17">
        <f t="shared" si="130"/>
        <v>0</v>
      </c>
      <c r="AN69" s="178"/>
      <c r="AO69" s="20">
        <v>500</v>
      </c>
      <c r="AP69" s="19">
        <v>0</v>
      </c>
      <c r="AQ69" s="19">
        <f>SUM(AO69:AP69)</f>
        <v>500</v>
      </c>
      <c r="AR69" s="17"/>
      <c r="AS69" s="17"/>
      <c r="AT69" s="17"/>
      <c r="AU69" s="87">
        <f t="shared" si="122"/>
        <v>500</v>
      </c>
      <c r="AV69" s="17">
        <f t="shared" si="122"/>
        <v>0</v>
      </c>
      <c r="AW69" s="17">
        <f t="shared" si="122"/>
        <v>500</v>
      </c>
      <c r="AX69" s="17">
        <f t="shared" si="123"/>
        <v>0</v>
      </c>
      <c r="AY69" s="78"/>
      <c r="AZ69" s="20">
        <v>500</v>
      </c>
      <c r="BA69" s="19"/>
      <c r="BB69" s="19">
        <f>SUM(AZ69:BA69)</f>
        <v>500</v>
      </c>
      <c r="BC69" s="17"/>
      <c r="BD69" s="17"/>
      <c r="BE69" s="17"/>
      <c r="BF69" s="19">
        <f t="shared" si="18"/>
        <v>500</v>
      </c>
      <c r="BG69" s="17">
        <f t="shared" si="18"/>
        <v>0</v>
      </c>
      <c r="BH69" s="17">
        <f t="shared" si="18"/>
        <v>500</v>
      </c>
      <c r="BI69" s="179"/>
      <c r="BJ69" s="180">
        <v>500</v>
      </c>
      <c r="BK69" s="181">
        <v>0</v>
      </c>
      <c r="BL69" s="181">
        <f>SUM(BJ69:BK69)</f>
        <v>500</v>
      </c>
      <c r="BM69" s="182"/>
      <c r="BN69" s="182"/>
      <c r="BO69" s="182"/>
      <c r="BP69" s="17">
        <f t="shared" si="4"/>
        <v>500</v>
      </c>
      <c r="BQ69" s="17">
        <f t="shared" si="4"/>
        <v>0</v>
      </c>
      <c r="BR69" s="17">
        <f t="shared" si="4"/>
        <v>500</v>
      </c>
      <c r="BS69" s="183" t="s">
        <v>306</v>
      </c>
      <c r="BT69" s="2"/>
      <c r="BU69" s="2"/>
    </row>
    <row r="70" spans="1:73" s="18" customFormat="1" ht="147.75" customHeight="1" x14ac:dyDescent="0.25">
      <c r="A70" s="102" t="s">
        <v>135</v>
      </c>
      <c r="B70" s="288" t="s">
        <v>384</v>
      </c>
      <c r="C70" s="86" t="s">
        <v>18</v>
      </c>
      <c r="D70" s="87">
        <v>0</v>
      </c>
      <c r="E70" s="19">
        <v>0</v>
      </c>
      <c r="F70" s="19">
        <f t="shared" ref="F70:F76" si="131">SUM(D70:E70)</f>
        <v>0</v>
      </c>
      <c r="G70" s="17"/>
      <c r="H70" s="17"/>
      <c r="I70" s="17"/>
      <c r="J70" s="19">
        <f t="shared" ref="J70:J76" si="132">D70-G70</f>
        <v>0</v>
      </c>
      <c r="K70" s="17">
        <f t="shared" si="124"/>
        <v>0</v>
      </c>
      <c r="L70" s="17">
        <f t="shared" si="124"/>
        <v>0</v>
      </c>
      <c r="M70" s="289" t="s">
        <v>409</v>
      </c>
      <c r="N70" s="87">
        <v>0</v>
      </c>
      <c r="O70" s="19">
        <v>670</v>
      </c>
      <c r="P70" s="19">
        <f t="shared" ref="P70:P73" si="133">SUM(N70:O70)</f>
        <v>670</v>
      </c>
      <c r="Q70" s="17"/>
      <c r="R70" s="17"/>
      <c r="S70" s="17"/>
      <c r="T70" s="19">
        <f t="shared" ref="T70:T73" si="134">N70-Q70</f>
        <v>0</v>
      </c>
      <c r="U70" s="17">
        <f t="shared" si="125"/>
        <v>670</v>
      </c>
      <c r="V70" s="17">
        <f t="shared" si="125"/>
        <v>670</v>
      </c>
      <c r="W70" s="177"/>
      <c r="X70" s="20">
        <f t="shared" si="126"/>
        <v>0</v>
      </c>
      <c r="Y70" s="19">
        <f t="shared" si="127"/>
        <v>670</v>
      </c>
      <c r="Z70" s="19">
        <f t="shared" si="128"/>
        <v>670</v>
      </c>
      <c r="AA70" s="19">
        <f t="shared" si="129"/>
        <v>-670</v>
      </c>
      <c r="AB70" s="106" t="s">
        <v>307</v>
      </c>
      <c r="AC70" s="20"/>
      <c r="AD70" s="19"/>
      <c r="AE70" s="17"/>
      <c r="AF70" s="196"/>
      <c r="AG70" s="21"/>
      <c r="AH70" s="17"/>
      <c r="AI70" s="17"/>
      <c r="AJ70" s="19"/>
      <c r="AK70" s="17"/>
      <c r="AL70" s="17"/>
      <c r="AM70" s="17">
        <f t="shared" si="130"/>
        <v>670</v>
      </c>
      <c r="AN70" s="78"/>
      <c r="AO70" s="20"/>
      <c r="AP70" s="19"/>
      <c r="AQ70" s="19"/>
      <c r="AR70" s="17"/>
      <c r="AS70" s="17"/>
      <c r="AT70" s="17"/>
      <c r="AU70" s="87"/>
      <c r="AV70" s="17"/>
      <c r="AW70" s="17"/>
      <c r="AX70" s="17"/>
      <c r="AY70" s="78"/>
      <c r="AZ70" s="20"/>
      <c r="BA70" s="19"/>
      <c r="BB70" s="19"/>
      <c r="BC70" s="17"/>
      <c r="BD70" s="17"/>
      <c r="BE70" s="17"/>
      <c r="BF70" s="19"/>
      <c r="BG70" s="17"/>
      <c r="BH70" s="17"/>
      <c r="BI70" s="204"/>
      <c r="BJ70" s="180"/>
      <c r="BK70" s="181"/>
      <c r="BL70" s="181"/>
      <c r="BM70" s="182"/>
      <c r="BN70" s="182"/>
      <c r="BO70" s="182"/>
      <c r="BP70" s="17"/>
      <c r="BQ70" s="17"/>
      <c r="BR70" s="17"/>
      <c r="BS70" s="183"/>
      <c r="BT70" s="2"/>
      <c r="BU70" s="2"/>
    </row>
    <row r="71" spans="1:73" s="18" customFormat="1" ht="147.75" customHeight="1" x14ac:dyDescent="0.25">
      <c r="A71" s="102" t="s">
        <v>135</v>
      </c>
      <c r="B71" s="288" t="s">
        <v>385</v>
      </c>
      <c r="C71" s="86" t="s">
        <v>18</v>
      </c>
      <c r="D71" s="87">
        <v>0</v>
      </c>
      <c r="E71" s="19">
        <v>0</v>
      </c>
      <c r="F71" s="19">
        <f t="shared" si="131"/>
        <v>0</v>
      </c>
      <c r="G71" s="17"/>
      <c r="H71" s="17"/>
      <c r="I71" s="17"/>
      <c r="J71" s="19">
        <f t="shared" si="132"/>
        <v>0</v>
      </c>
      <c r="K71" s="17">
        <f t="shared" si="124"/>
        <v>0</v>
      </c>
      <c r="L71" s="17">
        <f t="shared" si="124"/>
        <v>0</v>
      </c>
      <c r="M71" s="296" t="s">
        <v>410</v>
      </c>
      <c r="N71" s="87"/>
      <c r="O71" s="19"/>
      <c r="P71" s="19"/>
      <c r="Q71" s="17"/>
      <c r="R71" s="17"/>
      <c r="S71" s="17"/>
      <c r="T71" s="19"/>
      <c r="U71" s="17"/>
      <c r="V71" s="17"/>
      <c r="W71" s="177"/>
      <c r="X71" s="20"/>
      <c r="Y71" s="19"/>
      <c r="Z71" s="19"/>
      <c r="AA71" s="21"/>
      <c r="AB71" s="106"/>
      <c r="AC71" s="20"/>
      <c r="AD71" s="19"/>
      <c r="AE71" s="17"/>
      <c r="AF71" s="196"/>
      <c r="AG71" s="21"/>
      <c r="AH71" s="17"/>
      <c r="AI71" s="17"/>
      <c r="AJ71" s="19"/>
      <c r="AK71" s="17"/>
      <c r="AL71" s="17"/>
      <c r="AM71" s="17"/>
      <c r="AN71" s="78"/>
      <c r="AO71" s="20"/>
      <c r="AP71" s="19"/>
      <c r="AQ71" s="19"/>
      <c r="AR71" s="17"/>
      <c r="AS71" s="17"/>
      <c r="AT71" s="17"/>
      <c r="AU71" s="87"/>
      <c r="AV71" s="17"/>
      <c r="AW71" s="17"/>
      <c r="AX71" s="17"/>
      <c r="AY71" s="78"/>
      <c r="AZ71" s="20"/>
      <c r="BA71" s="19"/>
      <c r="BB71" s="19"/>
      <c r="BC71" s="17"/>
      <c r="BD71" s="17"/>
      <c r="BE71" s="17"/>
      <c r="BF71" s="19"/>
      <c r="BG71" s="17"/>
      <c r="BH71" s="17"/>
      <c r="BI71" s="204"/>
      <c r="BJ71" s="180"/>
      <c r="BK71" s="181"/>
      <c r="BL71" s="181"/>
      <c r="BM71" s="182"/>
      <c r="BN71" s="182"/>
      <c r="BO71" s="182"/>
      <c r="BP71" s="17"/>
      <c r="BQ71" s="17"/>
      <c r="BR71" s="17"/>
      <c r="BS71" s="183"/>
      <c r="BT71" s="2"/>
      <c r="BU71" s="2"/>
    </row>
    <row r="72" spans="1:73" s="18" customFormat="1" ht="120.75" customHeight="1" x14ac:dyDescent="0.25">
      <c r="A72" s="102" t="s">
        <v>135</v>
      </c>
      <c r="B72" s="108" t="s">
        <v>221</v>
      </c>
      <c r="C72" s="86" t="s">
        <v>18</v>
      </c>
      <c r="D72" s="87">
        <v>0</v>
      </c>
      <c r="E72" s="19">
        <v>0</v>
      </c>
      <c r="F72" s="19">
        <f t="shared" si="131"/>
        <v>0</v>
      </c>
      <c r="G72" s="17"/>
      <c r="H72" s="17"/>
      <c r="I72" s="17"/>
      <c r="J72" s="19">
        <f t="shared" si="132"/>
        <v>0</v>
      </c>
      <c r="K72" s="17">
        <f t="shared" si="124"/>
        <v>0</v>
      </c>
      <c r="L72" s="17">
        <f t="shared" si="124"/>
        <v>0</v>
      </c>
      <c r="M72" s="296" t="s">
        <v>411</v>
      </c>
      <c r="N72" s="87">
        <v>226</v>
      </c>
      <c r="O72" s="19"/>
      <c r="P72" s="19">
        <f t="shared" si="133"/>
        <v>226</v>
      </c>
      <c r="Q72" s="17"/>
      <c r="R72" s="17"/>
      <c r="S72" s="17"/>
      <c r="T72" s="19">
        <f t="shared" si="134"/>
        <v>226</v>
      </c>
      <c r="U72" s="17">
        <f t="shared" si="125"/>
        <v>0</v>
      </c>
      <c r="V72" s="17">
        <f t="shared" si="125"/>
        <v>226</v>
      </c>
      <c r="W72" s="177"/>
      <c r="X72" s="20">
        <f t="shared" si="126"/>
        <v>226</v>
      </c>
      <c r="Y72" s="19">
        <f t="shared" si="127"/>
        <v>0</v>
      </c>
      <c r="Z72" s="19">
        <f t="shared" si="128"/>
        <v>226</v>
      </c>
      <c r="AA72" s="21">
        <f t="shared" si="129"/>
        <v>-226</v>
      </c>
      <c r="AB72" s="78" t="s">
        <v>308</v>
      </c>
      <c r="AC72" s="20"/>
      <c r="AD72" s="19"/>
      <c r="AE72" s="17"/>
      <c r="AF72" s="196"/>
      <c r="AG72" s="21"/>
      <c r="AH72" s="17"/>
      <c r="AI72" s="17"/>
      <c r="AJ72" s="19"/>
      <c r="AK72" s="17"/>
      <c r="AL72" s="17"/>
      <c r="AM72" s="17">
        <f t="shared" si="130"/>
        <v>226</v>
      </c>
      <c r="AN72" s="78"/>
      <c r="AO72" s="20"/>
      <c r="AP72" s="19"/>
      <c r="AQ72" s="19"/>
      <c r="AR72" s="17"/>
      <c r="AS72" s="17"/>
      <c r="AT72" s="17"/>
      <c r="AU72" s="87"/>
      <c r="AV72" s="17"/>
      <c r="AW72" s="17"/>
      <c r="AX72" s="17"/>
      <c r="AY72" s="78"/>
      <c r="AZ72" s="20"/>
      <c r="BA72" s="19"/>
      <c r="BB72" s="19"/>
      <c r="BC72" s="17"/>
      <c r="BD72" s="17"/>
      <c r="BE72" s="17"/>
      <c r="BF72" s="19"/>
      <c r="BG72" s="17"/>
      <c r="BH72" s="17"/>
      <c r="BI72" s="204"/>
      <c r="BJ72" s="180"/>
      <c r="BK72" s="181"/>
      <c r="BL72" s="181"/>
      <c r="BM72" s="182"/>
      <c r="BN72" s="182"/>
      <c r="BO72" s="182"/>
      <c r="BP72" s="17"/>
      <c r="BQ72" s="17"/>
      <c r="BR72" s="17"/>
      <c r="BS72" s="183"/>
      <c r="BT72" s="2"/>
      <c r="BU72" s="2"/>
    </row>
    <row r="73" spans="1:73" s="18" customFormat="1" ht="208.5" customHeight="1" x14ac:dyDescent="0.25">
      <c r="A73" s="102" t="s">
        <v>135</v>
      </c>
      <c r="B73" s="128" t="s">
        <v>346</v>
      </c>
      <c r="C73" s="86" t="s">
        <v>222</v>
      </c>
      <c r="D73" s="87">
        <v>0</v>
      </c>
      <c r="E73" s="19">
        <v>0</v>
      </c>
      <c r="F73" s="19">
        <f t="shared" si="131"/>
        <v>0</v>
      </c>
      <c r="G73" s="17"/>
      <c r="H73" s="17"/>
      <c r="I73" s="17"/>
      <c r="J73" s="19">
        <f t="shared" si="132"/>
        <v>0</v>
      </c>
      <c r="K73" s="17">
        <f t="shared" si="124"/>
        <v>0</v>
      </c>
      <c r="L73" s="17">
        <f t="shared" si="124"/>
        <v>0</v>
      </c>
      <c r="M73" s="290" t="s">
        <v>412</v>
      </c>
      <c r="N73" s="87">
        <v>0</v>
      </c>
      <c r="O73" s="19">
        <v>0</v>
      </c>
      <c r="P73" s="19">
        <f t="shared" si="133"/>
        <v>0</v>
      </c>
      <c r="Q73" s="17"/>
      <c r="R73" s="17"/>
      <c r="S73" s="17"/>
      <c r="T73" s="19">
        <f t="shared" si="134"/>
        <v>0</v>
      </c>
      <c r="U73" s="17">
        <f t="shared" si="125"/>
        <v>0</v>
      </c>
      <c r="V73" s="17">
        <f t="shared" si="125"/>
        <v>0</v>
      </c>
      <c r="W73" s="177"/>
      <c r="X73" s="20">
        <f t="shared" si="126"/>
        <v>0</v>
      </c>
      <c r="Y73" s="19">
        <f t="shared" si="127"/>
        <v>0</v>
      </c>
      <c r="Z73" s="19">
        <f t="shared" si="128"/>
        <v>0</v>
      </c>
      <c r="AA73" s="21">
        <f t="shared" si="129"/>
        <v>0</v>
      </c>
      <c r="AB73" s="78" t="s">
        <v>309</v>
      </c>
      <c r="AC73" s="20"/>
      <c r="AD73" s="19"/>
      <c r="AE73" s="17"/>
      <c r="AF73" s="196"/>
      <c r="AG73" s="21"/>
      <c r="AH73" s="17"/>
      <c r="AI73" s="17"/>
      <c r="AJ73" s="19"/>
      <c r="AK73" s="17"/>
      <c r="AL73" s="17"/>
      <c r="AM73" s="17">
        <f t="shared" si="130"/>
        <v>0</v>
      </c>
      <c r="AN73" s="78"/>
      <c r="AO73" s="20"/>
      <c r="AP73" s="19"/>
      <c r="AQ73" s="19"/>
      <c r="AR73" s="17"/>
      <c r="AS73" s="17"/>
      <c r="AT73" s="17"/>
      <c r="AU73" s="87"/>
      <c r="AV73" s="17"/>
      <c r="AW73" s="17"/>
      <c r="AX73" s="17"/>
      <c r="AY73" s="78"/>
      <c r="AZ73" s="20"/>
      <c r="BA73" s="19"/>
      <c r="BB73" s="19"/>
      <c r="BC73" s="17"/>
      <c r="BD73" s="17"/>
      <c r="BE73" s="17"/>
      <c r="BF73" s="19"/>
      <c r="BG73" s="17"/>
      <c r="BH73" s="17"/>
      <c r="BI73" s="204"/>
      <c r="BJ73" s="180"/>
      <c r="BK73" s="181"/>
      <c r="BL73" s="181"/>
      <c r="BM73" s="182"/>
      <c r="BN73" s="182"/>
      <c r="BO73" s="182"/>
      <c r="BP73" s="17"/>
      <c r="BQ73" s="17"/>
      <c r="BR73" s="17"/>
      <c r="BS73" s="183"/>
      <c r="BT73" s="2"/>
      <c r="BU73" s="2"/>
    </row>
    <row r="74" spans="1:73" s="18" customFormat="1" ht="156" customHeight="1" x14ac:dyDescent="0.25">
      <c r="A74" s="102" t="s">
        <v>135</v>
      </c>
      <c r="B74" s="288" t="s">
        <v>386</v>
      </c>
      <c r="C74" s="86" t="s">
        <v>222</v>
      </c>
      <c r="D74" s="71">
        <v>0</v>
      </c>
      <c r="E74" s="7">
        <v>0</v>
      </c>
      <c r="F74" s="7">
        <f t="shared" si="131"/>
        <v>0</v>
      </c>
      <c r="G74" s="6"/>
      <c r="H74" s="6"/>
      <c r="I74" s="6"/>
      <c r="J74" s="7">
        <f t="shared" si="132"/>
        <v>0</v>
      </c>
      <c r="K74" s="6">
        <f t="shared" si="124"/>
        <v>0</v>
      </c>
      <c r="L74" s="7">
        <f t="shared" si="124"/>
        <v>0</v>
      </c>
      <c r="M74" s="289" t="s">
        <v>413</v>
      </c>
      <c r="N74" s="87"/>
      <c r="O74" s="19"/>
      <c r="P74" s="19"/>
      <c r="Q74" s="17"/>
      <c r="R74" s="17"/>
      <c r="S74" s="17"/>
      <c r="T74" s="19"/>
      <c r="U74" s="17"/>
      <c r="V74" s="17"/>
      <c r="W74" s="177"/>
      <c r="X74" s="20"/>
      <c r="Y74" s="19"/>
      <c r="Z74" s="19"/>
      <c r="AA74" s="21">
        <f t="shared" si="129"/>
        <v>0</v>
      </c>
      <c r="AB74" s="78"/>
      <c r="AC74" s="20"/>
      <c r="AD74" s="19"/>
      <c r="AE74" s="17"/>
      <c r="AF74" s="196"/>
      <c r="AG74" s="21"/>
      <c r="AH74" s="17"/>
      <c r="AI74" s="17"/>
      <c r="AJ74" s="19"/>
      <c r="AK74" s="17"/>
      <c r="AL74" s="17"/>
      <c r="AM74" s="17"/>
      <c r="AN74" s="78"/>
      <c r="AO74" s="20"/>
      <c r="AP74" s="19"/>
      <c r="AQ74" s="19"/>
      <c r="AR74" s="17"/>
      <c r="AS74" s="17"/>
      <c r="AT74" s="17"/>
      <c r="AU74" s="87"/>
      <c r="AV74" s="17"/>
      <c r="AW74" s="17"/>
      <c r="AX74" s="17"/>
      <c r="AY74" s="78"/>
      <c r="AZ74" s="20"/>
      <c r="BA74" s="19"/>
      <c r="BB74" s="19"/>
      <c r="BC74" s="17"/>
      <c r="BD74" s="17"/>
      <c r="BE74" s="17"/>
      <c r="BF74" s="19"/>
      <c r="BG74" s="17"/>
      <c r="BH74" s="17"/>
      <c r="BI74" s="204"/>
      <c r="BJ74" s="180"/>
      <c r="BK74" s="181"/>
      <c r="BL74" s="181"/>
      <c r="BM74" s="182"/>
      <c r="BN74" s="182"/>
      <c r="BO74" s="182"/>
      <c r="BP74" s="17"/>
      <c r="BQ74" s="17"/>
      <c r="BR74" s="17"/>
      <c r="BS74" s="183"/>
      <c r="BT74" s="2"/>
      <c r="BU74" s="2"/>
    </row>
    <row r="75" spans="1:73" s="18" customFormat="1" ht="156" customHeight="1" x14ac:dyDescent="0.25">
      <c r="A75" s="102" t="s">
        <v>135</v>
      </c>
      <c r="B75" s="288" t="s">
        <v>387</v>
      </c>
      <c r="C75" s="86" t="s">
        <v>222</v>
      </c>
      <c r="D75" s="71">
        <v>0</v>
      </c>
      <c r="E75" s="7">
        <v>0</v>
      </c>
      <c r="F75" s="7">
        <f t="shared" si="131"/>
        <v>0</v>
      </c>
      <c r="G75" s="6"/>
      <c r="H75" s="6"/>
      <c r="I75" s="6"/>
      <c r="J75" s="7">
        <f t="shared" si="132"/>
        <v>0</v>
      </c>
      <c r="K75" s="6">
        <f t="shared" si="124"/>
        <v>0</v>
      </c>
      <c r="L75" s="7">
        <f t="shared" si="124"/>
        <v>0</v>
      </c>
      <c r="M75" s="296" t="s">
        <v>415</v>
      </c>
      <c r="N75" s="87"/>
      <c r="O75" s="19"/>
      <c r="P75" s="19"/>
      <c r="Q75" s="17"/>
      <c r="R75" s="17"/>
      <c r="S75" s="17"/>
      <c r="T75" s="19"/>
      <c r="U75" s="17"/>
      <c r="V75" s="17"/>
      <c r="W75" s="177"/>
      <c r="X75" s="20"/>
      <c r="Y75" s="19"/>
      <c r="Z75" s="19"/>
      <c r="AA75" s="21">
        <f t="shared" si="129"/>
        <v>0</v>
      </c>
      <c r="AB75" s="78"/>
      <c r="AC75" s="20"/>
      <c r="AD75" s="19"/>
      <c r="AE75" s="17"/>
      <c r="AF75" s="196"/>
      <c r="AG75" s="21"/>
      <c r="AH75" s="17"/>
      <c r="AI75" s="17"/>
      <c r="AJ75" s="19"/>
      <c r="AK75" s="17"/>
      <c r="AL75" s="17"/>
      <c r="AM75" s="17"/>
      <c r="AN75" s="78"/>
      <c r="AO75" s="20"/>
      <c r="AP75" s="19"/>
      <c r="AQ75" s="19"/>
      <c r="AR75" s="17"/>
      <c r="AS75" s="17"/>
      <c r="AT75" s="17"/>
      <c r="AU75" s="87"/>
      <c r="AV75" s="17"/>
      <c r="AW75" s="17"/>
      <c r="AX75" s="17"/>
      <c r="AY75" s="78"/>
      <c r="AZ75" s="20"/>
      <c r="BA75" s="19"/>
      <c r="BB75" s="19"/>
      <c r="BC75" s="17"/>
      <c r="BD75" s="17"/>
      <c r="BE75" s="17"/>
      <c r="BF75" s="19"/>
      <c r="BG75" s="17"/>
      <c r="BH75" s="17"/>
      <c r="BI75" s="204"/>
      <c r="BJ75" s="180"/>
      <c r="BK75" s="181"/>
      <c r="BL75" s="181"/>
      <c r="BM75" s="182"/>
      <c r="BN75" s="182"/>
      <c r="BO75" s="182"/>
      <c r="BP75" s="17"/>
      <c r="BQ75" s="17"/>
      <c r="BR75" s="17"/>
      <c r="BS75" s="183"/>
      <c r="BT75" s="2"/>
      <c r="BU75" s="2"/>
    </row>
    <row r="76" spans="1:73" s="18" customFormat="1" ht="161.25" customHeight="1" x14ac:dyDescent="0.25">
      <c r="A76" s="102" t="s">
        <v>135</v>
      </c>
      <c r="B76" s="291" t="s">
        <v>388</v>
      </c>
      <c r="C76" s="86" t="s">
        <v>222</v>
      </c>
      <c r="D76" s="87">
        <v>0</v>
      </c>
      <c r="E76" s="19">
        <v>0</v>
      </c>
      <c r="F76" s="19">
        <f t="shared" si="131"/>
        <v>0</v>
      </c>
      <c r="G76" s="17"/>
      <c r="H76" s="17"/>
      <c r="I76" s="17"/>
      <c r="J76" s="19">
        <f t="shared" si="132"/>
        <v>0</v>
      </c>
      <c r="K76" s="17">
        <f t="shared" si="124"/>
        <v>0</v>
      </c>
      <c r="L76" s="19">
        <f t="shared" si="124"/>
        <v>0</v>
      </c>
      <c r="M76" s="296" t="s">
        <v>414</v>
      </c>
      <c r="N76" s="87"/>
      <c r="O76" s="19"/>
      <c r="P76" s="19"/>
      <c r="Q76" s="17"/>
      <c r="R76" s="17"/>
      <c r="S76" s="17"/>
      <c r="T76" s="19"/>
      <c r="U76" s="17"/>
      <c r="V76" s="17"/>
      <c r="W76" s="177"/>
      <c r="X76" s="20"/>
      <c r="Y76" s="19"/>
      <c r="Z76" s="19"/>
      <c r="AA76" s="21">
        <f t="shared" si="129"/>
        <v>0</v>
      </c>
      <c r="AB76" s="78"/>
      <c r="AC76" s="20"/>
      <c r="AD76" s="19"/>
      <c r="AE76" s="17"/>
      <c r="AF76" s="196"/>
      <c r="AG76" s="21"/>
      <c r="AH76" s="17"/>
      <c r="AI76" s="17"/>
      <c r="AJ76" s="19"/>
      <c r="AK76" s="17"/>
      <c r="AL76" s="17"/>
      <c r="AM76" s="17"/>
      <c r="AN76" s="78"/>
      <c r="AO76" s="20"/>
      <c r="AP76" s="19"/>
      <c r="AQ76" s="19"/>
      <c r="AR76" s="17"/>
      <c r="AS76" s="17"/>
      <c r="AT76" s="17"/>
      <c r="AU76" s="87"/>
      <c r="AV76" s="17"/>
      <c r="AW76" s="17"/>
      <c r="AX76" s="17"/>
      <c r="AY76" s="78"/>
      <c r="AZ76" s="20"/>
      <c r="BA76" s="19"/>
      <c r="BB76" s="19"/>
      <c r="BC76" s="17"/>
      <c r="BD76" s="17"/>
      <c r="BE76" s="17"/>
      <c r="BF76" s="19"/>
      <c r="BG76" s="17"/>
      <c r="BH76" s="17"/>
      <c r="BI76" s="204"/>
      <c r="BJ76" s="180"/>
      <c r="BK76" s="181"/>
      <c r="BL76" s="181"/>
      <c r="BM76" s="182"/>
      <c r="BN76" s="182"/>
      <c r="BO76" s="182"/>
      <c r="BP76" s="17"/>
      <c r="BQ76" s="17"/>
      <c r="BR76" s="17"/>
      <c r="BS76" s="183"/>
      <c r="BT76" s="2"/>
      <c r="BU76" s="2"/>
    </row>
    <row r="77" spans="1:73" s="5" customFormat="1" ht="25.5" x14ac:dyDescent="0.25">
      <c r="A77" s="79"/>
      <c r="B77" s="80" t="s">
        <v>23</v>
      </c>
      <c r="C77" s="81"/>
      <c r="D77" s="94">
        <f t="shared" ref="D77:L77" si="135">SUM(D65:D76)</f>
        <v>72648</v>
      </c>
      <c r="E77" s="14">
        <f t="shared" si="135"/>
        <v>12683</v>
      </c>
      <c r="F77" s="15">
        <f t="shared" si="135"/>
        <v>85331</v>
      </c>
      <c r="G77" s="16">
        <f t="shared" si="135"/>
        <v>1213</v>
      </c>
      <c r="H77" s="16">
        <f t="shared" si="135"/>
        <v>336.65000000000003</v>
      </c>
      <c r="I77" s="16">
        <f t="shared" si="135"/>
        <v>1549.65</v>
      </c>
      <c r="J77" s="16">
        <f t="shared" si="135"/>
        <v>71435</v>
      </c>
      <c r="K77" s="16">
        <f t="shared" si="135"/>
        <v>12346.35</v>
      </c>
      <c r="L77" s="15">
        <f t="shared" si="135"/>
        <v>83781.350000000006</v>
      </c>
      <c r="M77" s="91"/>
      <c r="N77" s="82">
        <f t="shared" ref="N77:AA77" si="136">SUM(N65:N76)</f>
        <v>72874</v>
      </c>
      <c r="O77" s="16">
        <f t="shared" si="136"/>
        <v>13585</v>
      </c>
      <c r="P77" s="15">
        <f t="shared" si="136"/>
        <v>86459</v>
      </c>
      <c r="Q77" s="16">
        <f t="shared" si="136"/>
        <v>1212.7</v>
      </c>
      <c r="R77" s="16">
        <f t="shared" si="136"/>
        <v>350.75</v>
      </c>
      <c r="S77" s="16">
        <f t="shared" si="136"/>
        <v>1564.45</v>
      </c>
      <c r="T77" s="16">
        <f t="shared" si="136"/>
        <v>71661.3</v>
      </c>
      <c r="U77" s="16">
        <f t="shared" si="136"/>
        <v>13234.25</v>
      </c>
      <c r="V77" s="26">
        <f t="shared" si="136"/>
        <v>84894.55</v>
      </c>
      <c r="W77" s="167">
        <f t="shared" si="136"/>
        <v>268</v>
      </c>
      <c r="X77" s="16">
        <f t="shared" si="136"/>
        <v>71661.3</v>
      </c>
      <c r="Y77" s="15">
        <f t="shared" si="136"/>
        <v>12966.25</v>
      </c>
      <c r="Z77" s="15">
        <f t="shared" si="136"/>
        <v>84626.55</v>
      </c>
      <c r="AA77" s="26">
        <f t="shared" si="136"/>
        <v>-846</v>
      </c>
      <c r="AB77" s="83"/>
      <c r="AC77" s="16">
        <f t="shared" ref="AC77:AM77" si="137">SUM(AC65:AC76)</f>
        <v>71356</v>
      </c>
      <c r="AD77" s="16">
        <f t="shared" si="137"/>
        <v>11215</v>
      </c>
      <c r="AE77" s="14">
        <f t="shared" si="137"/>
        <v>82571</v>
      </c>
      <c r="AF77" s="168">
        <f t="shared" si="137"/>
        <v>546</v>
      </c>
      <c r="AG77" s="16">
        <f t="shared" si="137"/>
        <v>987</v>
      </c>
      <c r="AH77" s="16">
        <f t="shared" si="137"/>
        <v>323</v>
      </c>
      <c r="AI77" s="16">
        <f t="shared" si="137"/>
        <v>1310</v>
      </c>
      <c r="AJ77" s="16">
        <f t="shared" si="137"/>
        <v>70369</v>
      </c>
      <c r="AK77" s="16">
        <f t="shared" si="137"/>
        <v>10346</v>
      </c>
      <c r="AL77" s="16">
        <f t="shared" si="137"/>
        <v>80715</v>
      </c>
      <c r="AM77" s="26">
        <f t="shared" si="137"/>
        <v>4179.5499999999993</v>
      </c>
      <c r="AN77" s="83"/>
      <c r="AO77" s="16">
        <f t="shared" ref="AO77:AX77" si="138">SUM(AO65:AO76)</f>
        <v>68501</v>
      </c>
      <c r="AP77" s="16">
        <f t="shared" si="138"/>
        <v>10668</v>
      </c>
      <c r="AQ77" s="16">
        <f t="shared" si="138"/>
        <v>79169</v>
      </c>
      <c r="AR77" s="16">
        <f t="shared" si="138"/>
        <v>897.1</v>
      </c>
      <c r="AS77" s="16">
        <f t="shared" si="138"/>
        <v>325.90000000000003</v>
      </c>
      <c r="AT77" s="26">
        <f t="shared" si="138"/>
        <v>1223</v>
      </c>
      <c r="AU77" s="82">
        <f t="shared" si="138"/>
        <v>67603.899999999994</v>
      </c>
      <c r="AV77" s="16">
        <f t="shared" si="138"/>
        <v>10342.1</v>
      </c>
      <c r="AW77" s="16">
        <f t="shared" si="138"/>
        <v>77946</v>
      </c>
      <c r="AX77" s="16">
        <f t="shared" si="138"/>
        <v>2769</v>
      </c>
      <c r="AY77" s="169"/>
      <c r="AZ77" s="16">
        <f t="shared" ref="AZ77:BH77" si="139">SUM(AZ65:AZ76)</f>
        <v>68501</v>
      </c>
      <c r="BA77" s="16">
        <f t="shared" si="139"/>
        <v>10668</v>
      </c>
      <c r="BB77" s="16">
        <f t="shared" si="139"/>
        <v>79169</v>
      </c>
      <c r="BC77" s="16">
        <f t="shared" si="139"/>
        <v>897</v>
      </c>
      <c r="BD77" s="16">
        <f t="shared" si="139"/>
        <v>326</v>
      </c>
      <c r="BE77" s="16">
        <f t="shared" si="139"/>
        <v>1223</v>
      </c>
      <c r="BF77" s="16">
        <f t="shared" si="139"/>
        <v>67604</v>
      </c>
      <c r="BG77" s="16">
        <f t="shared" si="139"/>
        <v>10342</v>
      </c>
      <c r="BH77" s="16">
        <f t="shared" si="139"/>
        <v>77946</v>
      </c>
      <c r="BI77" s="170"/>
      <c r="BJ77" s="171">
        <f t="shared" ref="BJ77:BO77" si="140">SUM(BJ65:BJ69)</f>
        <v>61807</v>
      </c>
      <c r="BK77" s="172">
        <f t="shared" si="140"/>
        <v>9984</v>
      </c>
      <c r="BL77" s="172">
        <f t="shared" si="140"/>
        <v>71791</v>
      </c>
      <c r="BM77" s="173">
        <f t="shared" si="140"/>
        <v>737</v>
      </c>
      <c r="BN77" s="173">
        <f t="shared" si="140"/>
        <v>297</v>
      </c>
      <c r="BO77" s="173">
        <f t="shared" si="140"/>
        <v>1034</v>
      </c>
      <c r="BP77" s="14">
        <f t="shared" si="4"/>
        <v>62544</v>
      </c>
      <c r="BQ77" s="14">
        <f t="shared" si="4"/>
        <v>10281</v>
      </c>
      <c r="BR77" s="14">
        <f t="shared" si="4"/>
        <v>72825</v>
      </c>
      <c r="BS77" s="174"/>
      <c r="BT77" s="2"/>
      <c r="BU77" s="2"/>
    </row>
    <row r="78" spans="1:73" ht="33" x14ac:dyDescent="0.25">
      <c r="A78" s="10" t="s">
        <v>191</v>
      </c>
      <c r="B78" s="9" t="s">
        <v>7</v>
      </c>
      <c r="C78" s="74" t="s">
        <v>94</v>
      </c>
      <c r="D78" s="71">
        <v>2724</v>
      </c>
      <c r="E78" s="7">
        <v>191</v>
      </c>
      <c r="F78" s="7">
        <f>SUM(D78:E78)</f>
        <v>2915</v>
      </c>
      <c r="G78" s="6"/>
      <c r="H78" s="6"/>
      <c r="I78" s="6"/>
      <c r="J78" s="7">
        <f t="shared" ref="J78:L82" si="141">D78-G78</f>
        <v>2724</v>
      </c>
      <c r="K78" s="6">
        <f t="shared" si="141"/>
        <v>191</v>
      </c>
      <c r="L78" s="7">
        <f t="shared" si="141"/>
        <v>2915</v>
      </c>
      <c r="M78" s="96"/>
      <c r="N78" s="71">
        <v>2724</v>
      </c>
      <c r="O78" s="7">
        <v>199</v>
      </c>
      <c r="P78" s="7">
        <f>SUM(N78:O78)</f>
        <v>2923</v>
      </c>
      <c r="Q78" s="6"/>
      <c r="R78" s="6"/>
      <c r="S78" s="6"/>
      <c r="T78" s="7">
        <f>N78-Q78</f>
        <v>2724</v>
      </c>
      <c r="U78" s="6">
        <f>O78-R78</f>
        <v>199</v>
      </c>
      <c r="V78" s="6">
        <f>P78-S78</f>
        <v>2923</v>
      </c>
      <c r="W78" s="160">
        <v>8</v>
      </c>
      <c r="X78" s="8">
        <f>T78</f>
        <v>2724</v>
      </c>
      <c r="Y78" s="7">
        <f>U78-W78</f>
        <v>191</v>
      </c>
      <c r="Z78" s="7">
        <f>X78+Y78</f>
        <v>2915</v>
      </c>
      <c r="AA78" s="22">
        <f>L78-Z78</f>
        <v>0</v>
      </c>
      <c r="AB78" s="72"/>
      <c r="AC78" s="8">
        <v>2724</v>
      </c>
      <c r="AD78" s="7">
        <v>199</v>
      </c>
      <c r="AE78" s="6">
        <f>SUM(AC78:AD78)</f>
        <v>2923</v>
      </c>
      <c r="AF78" s="161">
        <v>15</v>
      </c>
      <c r="AG78" s="22"/>
      <c r="AH78" s="6"/>
      <c r="AI78" s="6"/>
      <c r="AJ78" s="7">
        <f>AC78-AG78</f>
        <v>2724</v>
      </c>
      <c r="AK78" s="6">
        <f>AD78-AH78-AF78</f>
        <v>184</v>
      </c>
      <c r="AL78" s="6">
        <f>AE78-AI78-AF78</f>
        <v>2908</v>
      </c>
      <c r="AM78" s="6">
        <f>V78-AL78</f>
        <v>15</v>
      </c>
      <c r="AN78" s="72"/>
      <c r="AO78" s="8">
        <v>2724</v>
      </c>
      <c r="AP78" s="7">
        <v>199</v>
      </c>
      <c r="AQ78" s="7">
        <f>SUM(AO78:AP78)</f>
        <v>2923</v>
      </c>
      <c r="AR78" s="6"/>
      <c r="AS78" s="6"/>
      <c r="AT78" s="6"/>
      <c r="AU78" s="71">
        <f>AO78-AR78</f>
        <v>2724</v>
      </c>
      <c r="AV78" s="6">
        <f>AP78-AS78</f>
        <v>199</v>
      </c>
      <c r="AW78" s="6">
        <f>AQ78-AT78</f>
        <v>2923</v>
      </c>
      <c r="AX78" s="6">
        <f>AL78-AW78</f>
        <v>-15</v>
      </c>
      <c r="AY78" s="73"/>
      <c r="AZ78" s="8">
        <v>2724</v>
      </c>
      <c r="BA78" s="7">
        <v>199</v>
      </c>
      <c r="BB78" s="7">
        <f>SUM(AZ78:BA78)</f>
        <v>2923</v>
      </c>
      <c r="BC78" s="6"/>
      <c r="BD78" s="6"/>
      <c r="BE78" s="6"/>
      <c r="BF78" s="7">
        <f t="shared" si="18"/>
        <v>2724</v>
      </c>
      <c r="BG78" s="6">
        <f t="shared" si="18"/>
        <v>199</v>
      </c>
      <c r="BH78" s="6">
        <f t="shared" si="18"/>
        <v>2923</v>
      </c>
      <c r="BI78" s="162"/>
      <c r="BJ78" s="163">
        <v>2724</v>
      </c>
      <c r="BK78" s="164">
        <v>199</v>
      </c>
      <c r="BL78" s="164">
        <f>SUM(BJ78:BK78)</f>
        <v>2923</v>
      </c>
      <c r="BM78" s="165"/>
      <c r="BN78" s="165"/>
      <c r="BO78" s="165"/>
      <c r="BP78" s="6">
        <f t="shared" si="4"/>
        <v>2724</v>
      </c>
      <c r="BQ78" s="6">
        <f t="shared" si="4"/>
        <v>199</v>
      </c>
      <c r="BR78" s="6">
        <f t="shared" si="4"/>
        <v>2923</v>
      </c>
      <c r="BS78" s="166" t="s">
        <v>310</v>
      </c>
      <c r="BT78" s="2"/>
      <c r="BU78" s="2"/>
    </row>
    <row r="79" spans="1:73" ht="36" customHeight="1" x14ac:dyDescent="0.25">
      <c r="A79" s="11" t="s">
        <v>192</v>
      </c>
      <c r="B79" s="12" t="s">
        <v>95</v>
      </c>
      <c r="C79" s="70" t="s">
        <v>94</v>
      </c>
      <c r="D79" s="71">
        <v>828</v>
      </c>
      <c r="E79" s="7">
        <v>0</v>
      </c>
      <c r="F79" s="7">
        <f>SUM(D79:E79)</f>
        <v>828</v>
      </c>
      <c r="G79" s="6"/>
      <c r="H79" s="6"/>
      <c r="I79" s="6"/>
      <c r="J79" s="7">
        <f t="shared" si="141"/>
        <v>828</v>
      </c>
      <c r="K79" s="6">
        <f t="shared" si="141"/>
        <v>0</v>
      </c>
      <c r="L79" s="7">
        <f t="shared" si="141"/>
        <v>828</v>
      </c>
      <c r="M79" s="96"/>
      <c r="N79" s="71">
        <v>828</v>
      </c>
      <c r="O79" s="7">
        <v>0</v>
      </c>
      <c r="P79" s="7">
        <f>SUM(N79:O79)</f>
        <v>828</v>
      </c>
      <c r="Q79" s="6"/>
      <c r="R79" s="6"/>
      <c r="S79" s="6"/>
      <c r="T79" s="7">
        <f t="shared" ref="T79:V82" si="142">N79-Q79</f>
        <v>828</v>
      </c>
      <c r="U79" s="6">
        <f t="shared" si="142"/>
        <v>0</v>
      </c>
      <c r="V79" s="6">
        <f t="shared" si="142"/>
        <v>828</v>
      </c>
      <c r="W79" s="160"/>
      <c r="X79" s="8">
        <f>T79</f>
        <v>828</v>
      </c>
      <c r="Y79" s="7">
        <f>U79-W79</f>
        <v>0</v>
      </c>
      <c r="Z79" s="7">
        <f>X79+Y79</f>
        <v>828</v>
      </c>
      <c r="AA79" s="22">
        <f>L79-Z79</f>
        <v>0</v>
      </c>
      <c r="AB79" s="72"/>
      <c r="AC79" s="8">
        <v>828</v>
      </c>
      <c r="AD79" s="7">
        <v>0</v>
      </c>
      <c r="AE79" s="6">
        <f>SUM(AC79:AD79)</f>
        <v>828</v>
      </c>
      <c r="AF79" s="161"/>
      <c r="AG79" s="22"/>
      <c r="AH79" s="6"/>
      <c r="AI79" s="6"/>
      <c r="AJ79" s="7">
        <f t="shared" ref="AJ79:AL80" si="143">AC79-AG79</f>
        <v>828</v>
      </c>
      <c r="AK79" s="6">
        <f t="shared" si="143"/>
        <v>0</v>
      </c>
      <c r="AL79" s="7">
        <f t="shared" si="143"/>
        <v>828</v>
      </c>
      <c r="AM79" s="6">
        <f>V79-AL79</f>
        <v>0</v>
      </c>
      <c r="AN79" s="72"/>
      <c r="AO79" s="8">
        <v>828</v>
      </c>
      <c r="AP79" s="7">
        <v>0</v>
      </c>
      <c r="AQ79" s="7">
        <f>SUM(AO79:AP79)</f>
        <v>828</v>
      </c>
      <c r="AR79" s="6"/>
      <c r="AS79" s="6"/>
      <c r="AT79" s="6"/>
      <c r="AU79" s="71">
        <f t="shared" ref="AU79:AW80" si="144">AO79-AR79</f>
        <v>828</v>
      </c>
      <c r="AV79" s="6">
        <f t="shared" si="144"/>
        <v>0</v>
      </c>
      <c r="AW79" s="6">
        <f t="shared" si="144"/>
        <v>828</v>
      </c>
      <c r="AX79" s="6">
        <f>AL79-AW79</f>
        <v>0</v>
      </c>
      <c r="AY79" s="73"/>
      <c r="AZ79" s="8">
        <v>828</v>
      </c>
      <c r="BA79" s="7">
        <v>0</v>
      </c>
      <c r="BB79" s="7">
        <f>SUM(AZ79:BA79)</f>
        <v>828</v>
      </c>
      <c r="BC79" s="6"/>
      <c r="BD79" s="6"/>
      <c r="BE79" s="6"/>
      <c r="BF79" s="7">
        <f t="shared" si="18"/>
        <v>828</v>
      </c>
      <c r="BG79" s="6">
        <f t="shared" si="18"/>
        <v>0</v>
      </c>
      <c r="BH79" s="6">
        <f t="shared" si="18"/>
        <v>828</v>
      </c>
      <c r="BI79" s="162"/>
      <c r="BJ79" s="163">
        <v>828</v>
      </c>
      <c r="BK79" s="164">
        <v>0</v>
      </c>
      <c r="BL79" s="164">
        <f>SUM(BJ79:BK79)</f>
        <v>828</v>
      </c>
      <c r="BM79" s="165"/>
      <c r="BN79" s="165"/>
      <c r="BO79" s="165"/>
      <c r="BP79" s="6">
        <f t="shared" si="4"/>
        <v>828</v>
      </c>
      <c r="BQ79" s="6">
        <f t="shared" si="4"/>
        <v>0</v>
      </c>
      <c r="BR79" s="6">
        <f t="shared" si="4"/>
        <v>828</v>
      </c>
      <c r="BS79" s="166"/>
      <c r="BT79" s="2"/>
      <c r="BU79" s="2"/>
    </row>
    <row r="80" spans="1:73" ht="37.5" customHeight="1" x14ac:dyDescent="0.25">
      <c r="A80" s="10" t="s">
        <v>193</v>
      </c>
      <c r="B80" s="9" t="s">
        <v>96</v>
      </c>
      <c r="C80" s="74" t="s">
        <v>94</v>
      </c>
      <c r="D80" s="71">
        <v>510</v>
      </c>
      <c r="E80" s="7">
        <v>0</v>
      </c>
      <c r="F80" s="7">
        <f>SUM(D80:E80)</f>
        <v>510</v>
      </c>
      <c r="G80" s="6"/>
      <c r="H80" s="6"/>
      <c r="I80" s="6"/>
      <c r="J80" s="7">
        <f t="shared" si="141"/>
        <v>510</v>
      </c>
      <c r="K80" s="6">
        <f t="shared" si="141"/>
        <v>0</v>
      </c>
      <c r="L80" s="7">
        <f t="shared" si="141"/>
        <v>510</v>
      </c>
      <c r="M80" s="96"/>
      <c r="N80" s="71">
        <v>510</v>
      </c>
      <c r="O80" s="7">
        <v>0</v>
      </c>
      <c r="P80" s="7">
        <f>SUM(N80:O80)</f>
        <v>510</v>
      </c>
      <c r="Q80" s="6"/>
      <c r="R80" s="6"/>
      <c r="S80" s="6"/>
      <c r="T80" s="7">
        <f t="shared" si="142"/>
        <v>510</v>
      </c>
      <c r="U80" s="6">
        <f t="shared" si="142"/>
        <v>0</v>
      </c>
      <c r="V80" s="6">
        <f t="shared" si="142"/>
        <v>510</v>
      </c>
      <c r="W80" s="160"/>
      <c r="X80" s="8">
        <f>T80</f>
        <v>510</v>
      </c>
      <c r="Y80" s="7">
        <f>U80-W80</f>
        <v>0</v>
      </c>
      <c r="Z80" s="7">
        <f>X80+Y80</f>
        <v>510</v>
      </c>
      <c r="AA80" s="22">
        <f>L80-Z80</f>
        <v>0</v>
      </c>
      <c r="AB80" s="72"/>
      <c r="AC80" s="8">
        <v>510</v>
      </c>
      <c r="AD80" s="7">
        <v>0</v>
      </c>
      <c r="AE80" s="6">
        <f>SUM(AC80:AD80)</f>
        <v>510</v>
      </c>
      <c r="AF80" s="161"/>
      <c r="AG80" s="22"/>
      <c r="AH80" s="6"/>
      <c r="AI80" s="6"/>
      <c r="AJ80" s="7">
        <f t="shared" si="143"/>
        <v>510</v>
      </c>
      <c r="AK80" s="6">
        <f t="shared" si="143"/>
        <v>0</v>
      </c>
      <c r="AL80" s="6">
        <f t="shared" si="143"/>
        <v>510</v>
      </c>
      <c r="AM80" s="6">
        <f>V80-AL80</f>
        <v>0</v>
      </c>
      <c r="AN80" s="72"/>
      <c r="AO80" s="8">
        <v>510</v>
      </c>
      <c r="AP80" s="7">
        <v>0</v>
      </c>
      <c r="AQ80" s="7">
        <f>SUM(AO80:AP80)</f>
        <v>510</v>
      </c>
      <c r="AR80" s="6"/>
      <c r="AS80" s="6"/>
      <c r="AT80" s="6"/>
      <c r="AU80" s="71">
        <f t="shared" si="144"/>
        <v>510</v>
      </c>
      <c r="AV80" s="6">
        <f t="shared" si="144"/>
        <v>0</v>
      </c>
      <c r="AW80" s="6">
        <f t="shared" si="144"/>
        <v>510</v>
      </c>
      <c r="AX80" s="6">
        <f>AL80-AW80</f>
        <v>0</v>
      </c>
      <c r="AY80" s="73"/>
      <c r="AZ80" s="8">
        <v>510</v>
      </c>
      <c r="BA80" s="7">
        <v>0</v>
      </c>
      <c r="BB80" s="7">
        <f>SUM(AZ80:BA80)</f>
        <v>510</v>
      </c>
      <c r="BC80" s="6"/>
      <c r="BD80" s="6"/>
      <c r="BE80" s="6"/>
      <c r="BF80" s="7">
        <f t="shared" si="18"/>
        <v>510</v>
      </c>
      <c r="BG80" s="6">
        <f t="shared" si="18"/>
        <v>0</v>
      </c>
      <c r="BH80" s="6">
        <f t="shared" si="18"/>
        <v>510</v>
      </c>
      <c r="BI80" s="162" t="s">
        <v>311</v>
      </c>
      <c r="BJ80" s="163">
        <v>640</v>
      </c>
      <c r="BK80" s="164">
        <v>0</v>
      </c>
      <c r="BL80" s="164">
        <f>SUM(BJ80:BK80)</f>
        <v>640</v>
      </c>
      <c r="BM80" s="165"/>
      <c r="BN80" s="165"/>
      <c r="BO80" s="165"/>
      <c r="BP80" s="6">
        <f t="shared" si="4"/>
        <v>640</v>
      </c>
      <c r="BQ80" s="6">
        <f t="shared" si="4"/>
        <v>0</v>
      </c>
      <c r="BR80" s="6">
        <f t="shared" si="4"/>
        <v>640</v>
      </c>
      <c r="BS80" s="176" t="s">
        <v>312</v>
      </c>
      <c r="BT80" s="2"/>
      <c r="BU80" s="2"/>
    </row>
    <row r="81" spans="1:73" ht="144" hidden="1" customHeight="1" x14ac:dyDescent="0.25">
      <c r="A81" s="105" t="s">
        <v>135</v>
      </c>
      <c r="B81" s="9" t="s">
        <v>194</v>
      </c>
      <c r="C81" s="74" t="s">
        <v>94</v>
      </c>
      <c r="D81" s="71">
        <v>0</v>
      </c>
      <c r="E81" s="8">
        <v>0</v>
      </c>
      <c r="F81" s="7">
        <f>SUM(D81:E81)</f>
        <v>0</v>
      </c>
      <c r="G81" s="22"/>
      <c r="H81" s="7"/>
      <c r="I81" s="7"/>
      <c r="J81" s="7">
        <f t="shared" si="141"/>
        <v>0</v>
      </c>
      <c r="K81" s="6">
        <f t="shared" si="141"/>
        <v>0</v>
      </c>
      <c r="L81" s="7">
        <f t="shared" si="141"/>
        <v>0</v>
      </c>
      <c r="M81" s="101"/>
      <c r="N81" s="71"/>
      <c r="O81" s="8">
        <v>15000</v>
      </c>
      <c r="P81" s="7">
        <f>SUM(N81:O81)</f>
        <v>15000</v>
      </c>
      <c r="Q81" s="22"/>
      <c r="R81" s="7"/>
      <c r="S81" s="7"/>
      <c r="T81" s="7">
        <f t="shared" si="142"/>
        <v>0</v>
      </c>
      <c r="U81" s="6">
        <f t="shared" si="142"/>
        <v>15000</v>
      </c>
      <c r="V81" s="6">
        <f t="shared" si="142"/>
        <v>15000</v>
      </c>
      <c r="W81" s="160"/>
      <c r="X81" s="8">
        <f>T81</f>
        <v>0</v>
      </c>
      <c r="Y81" s="7">
        <f>U81-W81</f>
        <v>15000</v>
      </c>
      <c r="Z81" s="7">
        <f>X81+Y81</f>
        <v>15000</v>
      </c>
      <c r="AA81" s="22">
        <f>L81-Z81</f>
        <v>-15000</v>
      </c>
      <c r="AB81" s="73" t="s">
        <v>313</v>
      </c>
      <c r="AC81" s="8"/>
      <c r="AD81" s="8"/>
      <c r="AE81" s="6"/>
      <c r="AF81" s="161"/>
      <c r="AG81" s="22"/>
      <c r="AH81" s="7"/>
      <c r="AI81" s="7"/>
      <c r="AJ81" s="8"/>
      <c r="AK81" s="22"/>
      <c r="AL81" s="7"/>
      <c r="AM81" s="6">
        <f>V81-AL81</f>
        <v>15000</v>
      </c>
      <c r="AN81" s="72"/>
      <c r="AO81" s="8"/>
      <c r="AP81" s="8"/>
      <c r="AQ81" s="8"/>
      <c r="AR81" s="22"/>
      <c r="AS81" s="22"/>
      <c r="AT81" s="22"/>
      <c r="AU81" s="71"/>
      <c r="AV81" s="22"/>
      <c r="AW81" s="22"/>
      <c r="AX81" s="22"/>
      <c r="AY81" s="73"/>
      <c r="AZ81" s="8"/>
      <c r="BA81" s="8"/>
      <c r="BB81" s="8"/>
      <c r="BC81" s="22"/>
      <c r="BD81" s="22"/>
      <c r="BE81" s="22"/>
      <c r="BF81" s="8"/>
      <c r="BG81" s="22"/>
      <c r="BH81" s="22"/>
      <c r="BI81" s="162"/>
      <c r="BJ81" s="163"/>
      <c r="BK81" s="164"/>
      <c r="BL81" s="164"/>
      <c r="BM81" s="165"/>
      <c r="BN81" s="165"/>
      <c r="BO81" s="165"/>
      <c r="BP81" s="6"/>
      <c r="BQ81" s="6"/>
      <c r="BR81" s="6"/>
      <c r="BS81" s="176"/>
      <c r="BT81" s="2"/>
      <c r="BU81" s="2"/>
    </row>
    <row r="82" spans="1:73" ht="186" hidden="1" customHeight="1" x14ac:dyDescent="0.25">
      <c r="A82" s="105" t="s">
        <v>135</v>
      </c>
      <c r="B82" s="9" t="s">
        <v>195</v>
      </c>
      <c r="C82" s="74" t="s">
        <v>94</v>
      </c>
      <c r="D82" s="71">
        <v>0</v>
      </c>
      <c r="E82" s="8">
        <v>0</v>
      </c>
      <c r="F82" s="7">
        <f>SUM(D82:E82)</f>
        <v>0</v>
      </c>
      <c r="G82" s="22"/>
      <c r="H82" s="7"/>
      <c r="I82" s="22"/>
      <c r="J82" s="7">
        <f t="shared" si="141"/>
        <v>0</v>
      </c>
      <c r="K82" s="6">
        <f t="shared" si="141"/>
        <v>0</v>
      </c>
      <c r="L82" s="7">
        <f t="shared" si="141"/>
        <v>0</v>
      </c>
      <c r="M82" s="101"/>
      <c r="N82" s="71"/>
      <c r="O82" s="8">
        <v>50000</v>
      </c>
      <c r="P82" s="7">
        <f>SUM(N82:O82)</f>
        <v>50000</v>
      </c>
      <c r="Q82" s="22"/>
      <c r="R82" s="7"/>
      <c r="S82" s="22"/>
      <c r="T82" s="7">
        <f t="shared" si="142"/>
        <v>0</v>
      </c>
      <c r="U82" s="6">
        <f t="shared" si="142"/>
        <v>50000</v>
      </c>
      <c r="V82" s="6">
        <f t="shared" si="142"/>
        <v>50000</v>
      </c>
      <c r="W82" s="160"/>
      <c r="X82" s="8">
        <f>T82</f>
        <v>0</v>
      </c>
      <c r="Y82" s="7">
        <f>U82-W82</f>
        <v>50000</v>
      </c>
      <c r="Z82" s="7">
        <f>X82+Y82</f>
        <v>50000</v>
      </c>
      <c r="AA82" s="22">
        <f>L82-Z82</f>
        <v>-50000</v>
      </c>
      <c r="AB82" s="73" t="s">
        <v>314</v>
      </c>
      <c r="AC82" s="8"/>
      <c r="AD82" s="8"/>
      <c r="AE82" s="6"/>
      <c r="AF82" s="161"/>
      <c r="AG82" s="22"/>
      <c r="AH82" s="7"/>
      <c r="AI82" s="7"/>
      <c r="AJ82" s="8"/>
      <c r="AK82" s="22"/>
      <c r="AL82" s="7"/>
      <c r="AM82" s="6">
        <f>V82-AL82</f>
        <v>50000</v>
      </c>
      <c r="AN82" s="72"/>
      <c r="AO82" s="8"/>
      <c r="AP82" s="8"/>
      <c r="AQ82" s="8"/>
      <c r="AR82" s="22"/>
      <c r="AS82" s="22"/>
      <c r="AT82" s="22"/>
      <c r="AU82" s="71"/>
      <c r="AV82" s="22"/>
      <c r="AW82" s="22"/>
      <c r="AX82" s="22"/>
      <c r="AY82" s="73"/>
      <c r="AZ82" s="8"/>
      <c r="BA82" s="8"/>
      <c r="BB82" s="8"/>
      <c r="BC82" s="22"/>
      <c r="BD82" s="22"/>
      <c r="BE82" s="22"/>
      <c r="BF82" s="8"/>
      <c r="BG82" s="22"/>
      <c r="BH82" s="22"/>
      <c r="BI82" s="162"/>
      <c r="BJ82" s="163"/>
      <c r="BK82" s="164"/>
      <c r="BL82" s="164"/>
      <c r="BM82" s="165"/>
      <c r="BN82" s="165"/>
      <c r="BO82" s="165"/>
      <c r="BP82" s="6"/>
      <c r="BQ82" s="6"/>
      <c r="BR82" s="6"/>
      <c r="BS82" s="176"/>
      <c r="BT82" s="2"/>
      <c r="BU82" s="2"/>
    </row>
    <row r="83" spans="1:73" s="5" customFormat="1" ht="25.5" x14ac:dyDescent="0.25">
      <c r="A83" s="79"/>
      <c r="B83" s="80" t="s">
        <v>196</v>
      </c>
      <c r="C83" s="81"/>
      <c r="D83" s="82">
        <f>SUM(D78:D82)</f>
        <v>4062</v>
      </c>
      <c r="E83" s="16">
        <f>SUM(E78:E82)</f>
        <v>191</v>
      </c>
      <c r="F83" s="15">
        <f>SUM(F78:F82)</f>
        <v>4253</v>
      </c>
      <c r="G83" s="16"/>
      <c r="H83" s="16"/>
      <c r="I83" s="16"/>
      <c r="J83" s="16">
        <f t="shared" ref="J83:P83" si="145">SUM(J78:J82)</f>
        <v>4062</v>
      </c>
      <c r="K83" s="16">
        <f t="shared" si="145"/>
        <v>191</v>
      </c>
      <c r="L83" s="15">
        <f t="shared" si="145"/>
        <v>4253</v>
      </c>
      <c r="M83" s="91"/>
      <c r="N83" s="82">
        <f t="shared" si="145"/>
        <v>4062</v>
      </c>
      <c r="O83" s="16">
        <f t="shared" si="145"/>
        <v>65199</v>
      </c>
      <c r="P83" s="15">
        <f t="shared" si="145"/>
        <v>69261</v>
      </c>
      <c r="Q83" s="16"/>
      <c r="R83" s="16"/>
      <c r="S83" s="16"/>
      <c r="T83" s="16">
        <f t="shared" ref="T83:AA83" si="146">SUM(T78:T82)</f>
        <v>4062</v>
      </c>
      <c r="U83" s="16">
        <f t="shared" si="146"/>
        <v>65199</v>
      </c>
      <c r="V83" s="26">
        <f t="shared" si="146"/>
        <v>69261</v>
      </c>
      <c r="W83" s="167">
        <f t="shared" si="146"/>
        <v>8</v>
      </c>
      <c r="X83" s="16">
        <f t="shared" si="146"/>
        <v>4062</v>
      </c>
      <c r="Y83" s="15">
        <f t="shared" si="146"/>
        <v>65191</v>
      </c>
      <c r="Z83" s="15">
        <f t="shared" si="146"/>
        <v>69253</v>
      </c>
      <c r="AA83" s="26">
        <f t="shared" si="146"/>
        <v>-65000</v>
      </c>
      <c r="AB83" s="83"/>
      <c r="AC83" s="16">
        <f t="shared" ref="AC83:AQ83" si="147">SUM(AC78:AC80)</f>
        <v>4062</v>
      </c>
      <c r="AD83" s="16">
        <f t="shared" si="147"/>
        <v>199</v>
      </c>
      <c r="AE83" s="14">
        <f t="shared" si="147"/>
        <v>4261</v>
      </c>
      <c r="AF83" s="168">
        <f t="shared" si="147"/>
        <v>15</v>
      </c>
      <c r="AG83" s="16"/>
      <c r="AH83" s="16"/>
      <c r="AI83" s="16"/>
      <c r="AJ83" s="16">
        <f>SUM(AJ78:AJ80)</f>
        <v>4062</v>
      </c>
      <c r="AK83" s="16">
        <f>SUM(AK78:AK80)</f>
        <v>184</v>
      </c>
      <c r="AL83" s="16">
        <f>SUM(AL78:AL80)</f>
        <v>4246</v>
      </c>
      <c r="AM83" s="26">
        <f>SUM(AM78:AM82)</f>
        <v>65015</v>
      </c>
      <c r="AN83" s="83"/>
      <c r="AO83" s="16">
        <f t="shared" si="147"/>
        <v>4062</v>
      </c>
      <c r="AP83" s="16">
        <f t="shared" si="147"/>
        <v>199</v>
      </c>
      <c r="AQ83" s="16">
        <f t="shared" si="147"/>
        <v>4261</v>
      </c>
      <c r="AR83" s="16"/>
      <c r="AS83" s="16"/>
      <c r="AT83" s="26"/>
      <c r="AU83" s="82">
        <f>SUM(AU78:AU80)</f>
        <v>4062</v>
      </c>
      <c r="AV83" s="16">
        <f>SUM(AV78:AV80)</f>
        <v>199</v>
      </c>
      <c r="AW83" s="16">
        <f>SUM(AW78:AW80)</f>
        <v>4261</v>
      </c>
      <c r="AX83" s="16">
        <f>SUM(AX78:AX80)</f>
        <v>-15</v>
      </c>
      <c r="AY83" s="169"/>
      <c r="AZ83" s="16">
        <f t="shared" ref="AZ83:BH83" si="148">SUM(AZ78:AZ80)</f>
        <v>4062</v>
      </c>
      <c r="BA83" s="16">
        <f t="shared" si="148"/>
        <v>199</v>
      </c>
      <c r="BB83" s="16">
        <f t="shared" si="148"/>
        <v>4261</v>
      </c>
      <c r="BC83" s="16">
        <f t="shared" si="148"/>
        <v>0</v>
      </c>
      <c r="BD83" s="16">
        <f t="shared" si="148"/>
        <v>0</v>
      </c>
      <c r="BE83" s="16">
        <f t="shared" si="148"/>
        <v>0</v>
      </c>
      <c r="BF83" s="16">
        <f t="shared" si="148"/>
        <v>4062</v>
      </c>
      <c r="BG83" s="16">
        <f t="shared" si="148"/>
        <v>199</v>
      </c>
      <c r="BH83" s="16">
        <f t="shared" si="148"/>
        <v>4261</v>
      </c>
      <c r="BI83" s="170"/>
      <c r="BJ83" s="171">
        <f>SUM(BJ78:BJ80)</f>
        <v>4192</v>
      </c>
      <c r="BK83" s="172">
        <f>SUM(BK78:BK80)</f>
        <v>199</v>
      </c>
      <c r="BL83" s="172">
        <f>SUM(BL78:BL80)</f>
        <v>4391</v>
      </c>
      <c r="BM83" s="173"/>
      <c r="BN83" s="173"/>
      <c r="BO83" s="173"/>
      <c r="BP83" s="14">
        <f t="shared" ref="BP83:BR129" si="149">BJ83+BM83</f>
        <v>4192</v>
      </c>
      <c r="BQ83" s="14">
        <f t="shared" si="149"/>
        <v>199</v>
      </c>
      <c r="BR83" s="14">
        <f t="shared" si="149"/>
        <v>4391</v>
      </c>
      <c r="BS83" s="174"/>
      <c r="BT83" s="2"/>
      <c r="BU83" s="2"/>
    </row>
    <row r="84" spans="1:73" ht="107.25" customHeight="1" x14ac:dyDescent="0.25">
      <c r="A84" s="11" t="s">
        <v>197</v>
      </c>
      <c r="B84" s="12" t="s">
        <v>8</v>
      </c>
      <c r="C84" s="70" t="s">
        <v>97</v>
      </c>
      <c r="D84" s="71">
        <v>3691</v>
      </c>
      <c r="E84" s="7">
        <v>259</v>
      </c>
      <c r="F84" s="7">
        <f t="shared" ref="F84:F89" si="150">SUM(D84:E84)</f>
        <v>3950</v>
      </c>
      <c r="G84" s="7">
        <f>D84*10%</f>
        <v>369.1</v>
      </c>
      <c r="H84" s="7">
        <f>E84*5%</f>
        <v>12.950000000000001</v>
      </c>
      <c r="I84" s="7">
        <f>SUM(G84:H84)</f>
        <v>382.05</v>
      </c>
      <c r="J84" s="7">
        <f t="shared" ref="J84:L89" si="151">D84-G84</f>
        <v>3321.9</v>
      </c>
      <c r="K84" s="6">
        <f t="shared" si="151"/>
        <v>246.05</v>
      </c>
      <c r="L84" s="7">
        <f t="shared" si="151"/>
        <v>3567.95</v>
      </c>
      <c r="M84" s="274" t="s">
        <v>347</v>
      </c>
      <c r="N84" s="71">
        <v>2937</v>
      </c>
      <c r="O84" s="7">
        <v>104</v>
      </c>
      <c r="P84" s="7">
        <f t="shared" ref="P84:P85" si="152">SUM(N84:O84)</f>
        <v>3041</v>
      </c>
      <c r="Q84" s="6">
        <f>N84*10%</f>
        <v>293.7</v>
      </c>
      <c r="R84" s="6">
        <f>O84*5%</f>
        <v>5.2</v>
      </c>
      <c r="S84" s="6">
        <f>SUM(Q84:R84)</f>
        <v>298.89999999999998</v>
      </c>
      <c r="T84" s="7">
        <f t="shared" ref="T84:V85" si="153">N84-Q84</f>
        <v>2643.3</v>
      </c>
      <c r="U84" s="6">
        <f t="shared" si="153"/>
        <v>98.8</v>
      </c>
      <c r="V84" s="6">
        <f t="shared" si="153"/>
        <v>2742.1</v>
      </c>
      <c r="W84" s="160">
        <v>4</v>
      </c>
      <c r="X84" s="8">
        <f t="shared" ref="X84:X85" si="154">T84</f>
        <v>2643.3</v>
      </c>
      <c r="Y84" s="7">
        <f t="shared" ref="Y84:Y85" si="155">U84-W84</f>
        <v>94.8</v>
      </c>
      <c r="Z84" s="7">
        <f t="shared" ref="Z84:Z85" si="156">X84+Y84</f>
        <v>2738.1000000000004</v>
      </c>
      <c r="AA84" s="7">
        <f t="shared" ref="AA84:AA85" si="157">L84-Z84</f>
        <v>829.84999999999945</v>
      </c>
      <c r="AB84" s="101" t="s">
        <v>315</v>
      </c>
      <c r="AC84" s="8">
        <v>2737</v>
      </c>
      <c r="AD84" s="7">
        <v>104</v>
      </c>
      <c r="AE84" s="6">
        <f>SUM(AC84:AD84)</f>
        <v>2841</v>
      </c>
      <c r="AF84" s="161">
        <v>8</v>
      </c>
      <c r="AG84" s="22">
        <v>274</v>
      </c>
      <c r="AH84" s="6">
        <v>5</v>
      </c>
      <c r="AI84" s="6">
        <f>SUM(AG84:AH84)</f>
        <v>279</v>
      </c>
      <c r="AJ84" s="7">
        <f t="shared" ref="AJ84:AL85" si="158">AC84-AG84</f>
        <v>2463</v>
      </c>
      <c r="AK84" s="6">
        <f>AD84-AH84-AF84</f>
        <v>91</v>
      </c>
      <c r="AL84" s="7">
        <f>AE84-AI84-AF84</f>
        <v>2554</v>
      </c>
      <c r="AM84" s="6">
        <f t="shared" ref="AM84:AM85" si="159">V84-AL84</f>
        <v>188.09999999999991</v>
      </c>
      <c r="AN84" s="72"/>
      <c r="AO84" s="8">
        <v>2737</v>
      </c>
      <c r="AP84" s="7">
        <v>104</v>
      </c>
      <c r="AQ84" s="7">
        <f>SUM(AO84:AP84)</f>
        <v>2841</v>
      </c>
      <c r="AR84" s="6">
        <f>AO84*10%</f>
        <v>273.7</v>
      </c>
      <c r="AS84" s="6">
        <f>AP84*5%</f>
        <v>5.2</v>
      </c>
      <c r="AT84" s="6">
        <f>SUM(AR84:AS84)</f>
        <v>278.89999999999998</v>
      </c>
      <c r="AU84" s="71">
        <f t="shared" ref="AU84:AW85" si="160">AO84-AR84</f>
        <v>2463.3000000000002</v>
      </c>
      <c r="AV84" s="6">
        <f t="shared" si="160"/>
        <v>98.8</v>
      </c>
      <c r="AW84" s="6">
        <f t="shared" si="160"/>
        <v>2562.1</v>
      </c>
      <c r="AX84" s="6">
        <f>AL84-AW84</f>
        <v>-8.0999999999999091</v>
      </c>
      <c r="AY84" s="73"/>
      <c r="AZ84" s="8">
        <v>2737</v>
      </c>
      <c r="BA84" s="7">
        <v>104</v>
      </c>
      <c r="BB84" s="7">
        <f>SUM(AZ84:BA84)</f>
        <v>2841</v>
      </c>
      <c r="BC84" s="6">
        <v>274</v>
      </c>
      <c r="BD84" s="6">
        <v>5</v>
      </c>
      <c r="BE84" s="6">
        <f>SUM(BC84:BD84)</f>
        <v>279</v>
      </c>
      <c r="BF84" s="7">
        <f t="shared" si="18"/>
        <v>2463</v>
      </c>
      <c r="BG84" s="6">
        <f t="shared" si="18"/>
        <v>99</v>
      </c>
      <c r="BH84" s="6">
        <f t="shared" si="18"/>
        <v>2562</v>
      </c>
      <c r="BI84" s="162"/>
      <c r="BJ84" s="163">
        <v>2463</v>
      </c>
      <c r="BK84" s="164">
        <v>99</v>
      </c>
      <c r="BL84" s="164">
        <f>SUM(BJ84:BK84)</f>
        <v>2562</v>
      </c>
      <c r="BM84" s="165">
        <v>274</v>
      </c>
      <c r="BN84" s="165">
        <v>5</v>
      </c>
      <c r="BO84" s="165">
        <f>SUM(BM84:BN84)</f>
        <v>279</v>
      </c>
      <c r="BP84" s="6">
        <f t="shared" si="149"/>
        <v>2737</v>
      </c>
      <c r="BQ84" s="6">
        <f t="shared" si="149"/>
        <v>104</v>
      </c>
      <c r="BR84" s="6">
        <f t="shared" si="149"/>
        <v>2841</v>
      </c>
      <c r="BS84" s="176" t="s">
        <v>316</v>
      </c>
      <c r="BT84" s="2"/>
      <c r="BU84" s="2"/>
    </row>
    <row r="85" spans="1:73" ht="61.5" customHeight="1" x14ac:dyDescent="0.25">
      <c r="A85" s="11" t="s">
        <v>197</v>
      </c>
      <c r="B85" s="9" t="s">
        <v>98</v>
      </c>
      <c r="C85" s="70" t="s">
        <v>97</v>
      </c>
      <c r="D85" s="71">
        <v>950</v>
      </c>
      <c r="E85" s="7">
        <v>0</v>
      </c>
      <c r="F85" s="7">
        <f t="shared" si="150"/>
        <v>950</v>
      </c>
      <c r="G85" s="7"/>
      <c r="H85" s="7"/>
      <c r="I85" s="7"/>
      <c r="J85" s="7">
        <f t="shared" si="151"/>
        <v>950</v>
      </c>
      <c r="K85" s="6">
        <f t="shared" si="151"/>
        <v>0</v>
      </c>
      <c r="L85" s="7">
        <f t="shared" si="151"/>
        <v>950</v>
      </c>
      <c r="M85" s="96"/>
      <c r="N85" s="71">
        <v>950</v>
      </c>
      <c r="O85" s="7">
        <v>0</v>
      </c>
      <c r="P85" s="7">
        <f t="shared" si="152"/>
        <v>950</v>
      </c>
      <c r="Q85" s="6"/>
      <c r="R85" s="6"/>
      <c r="S85" s="6"/>
      <c r="T85" s="7">
        <f t="shared" si="153"/>
        <v>950</v>
      </c>
      <c r="U85" s="6">
        <f t="shared" si="153"/>
        <v>0</v>
      </c>
      <c r="V85" s="6">
        <f t="shared" si="153"/>
        <v>950</v>
      </c>
      <c r="W85" s="160"/>
      <c r="X85" s="8">
        <f t="shared" si="154"/>
        <v>950</v>
      </c>
      <c r="Y85" s="7">
        <f t="shared" si="155"/>
        <v>0</v>
      </c>
      <c r="Z85" s="7">
        <f t="shared" si="156"/>
        <v>950</v>
      </c>
      <c r="AA85" s="7">
        <f t="shared" si="157"/>
        <v>0</v>
      </c>
      <c r="AB85" s="96"/>
      <c r="AC85" s="8">
        <v>950</v>
      </c>
      <c r="AD85" s="7">
        <v>0</v>
      </c>
      <c r="AE85" s="6">
        <f>SUM(AC85:AD85)</f>
        <v>950</v>
      </c>
      <c r="AF85" s="161"/>
      <c r="AG85" s="22"/>
      <c r="AH85" s="6"/>
      <c r="AI85" s="6"/>
      <c r="AJ85" s="7">
        <f t="shared" si="158"/>
        <v>950</v>
      </c>
      <c r="AK85" s="6">
        <f t="shared" si="158"/>
        <v>0</v>
      </c>
      <c r="AL85" s="7">
        <f t="shared" si="158"/>
        <v>950</v>
      </c>
      <c r="AM85" s="6">
        <f t="shared" si="159"/>
        <v>0</v>
      </c>
      <c r="AN85" s="72"/>
      <c r="AO85" s="8">
        <v>950</v>
      </c>
      <c r="AP85" s="7">
        <v>0</v>
      </c>
      <c r="AQ85" s="7">
        <f>SUM(AO85:AP85)</f>
        <v>950</v>
      </c>
      <c r="AR85" s="6"/>
      <c r="AS85" s="6"/>
      <c r="AT85" s="6"/>
      <c r="AU85" s="71">
        <f t="shared" si="160"/>
        <v>950</v>
      </c>
      <c r="AV85" s="6">
        <f t="shared" si="160"/>
        <v>0</v>
      </c>
      <c r="AW85" s="6">
        <f t="shared" si="160"/>
        <v>950</v>
      </c>
      <c r="AX85" s="6">
        <f>AL85-AW85</f>
        <v>0</v>
      </c>
      <c r="AY85" s="73"/>
      <c r="AZ85" s="8">
        <v>950</v>
      </c>
      <c r="BA85" s="7">
        <v>0</v>
      </c>
      <c r="BB85" s="7">
        <f>SUM(AZ85:BA85)</f>
        <v>950</v>
      </c>
      <c r="BC85" s="6"/>
      <c r="BD85" s="6"/>
      <c r="BE85" s="6"/>
      <c r="BF85" s="7">
        <f t="shared" si="18"/>
        <v>950</v>
      </c>
      <c r="BG85" s="6">
        <f t="shared" si="18"/>
        <v>0</v>
      </c>
      <c r="BH85" s="6">
        <f t="shared" si="18"/>
        <v>950</v>
      </c>
      <c r="BI85" s="162"/>
      <c r="BJ85" s="163">
        <v>950</v>
      </c>
      <c r="BK85" s="164">
        <v>0</v>
      </c>
      <c r="BL85" s="164">
        <f>SUM(BJ85:BK85)</f>
        <v>950</v>
      </c>
      <c r="BM85" s="165"/>
      <c r="BN85" s="165"/>
      <c r="BO85" s="165"/>
      <c r="BP85" s="6">
        <f t="shared" si="149"/>
        <v>950</v>
      </c>
      <c r="BQ85" s="6">
        <f t="shared" si="149"/>
        <v>0</v>
      </c>
      <c r="BR85" s="6">
        <f t="shared" si="149"/>
        <v>950</v>
      </c>
      <c r="BS85" s="166" t="s">
        <v>306</v>
      </c>
      <c r="BT85" s="2"/>
      <c r="BU85" s="2"/>
    </row>
    <row r="86" spans="1:73" ht="105" customHeight="1" x14ac:dyDescent="0.25">
      <c r="A86" s="11" t="s">
        <v>391</v>
      </c>
      <c r="B86" s="277" t="s">
        <v>350</v>
      </c>
      <c r="C86" s="86" t="s">
        <v>97</v>
      </c>
      <c r="D86" s="87">
        <v>300</v>
      </c>
      <c r="E86" s="20">
        <v>0</v>
      </c>
      <c r="F86" s="7">
        <f>SUM(D86:E86)</f>
        <v>300</v>
      </c>
      <c r="G86" s="7"/>
      <c r="H86" s="7"/>
      <c r="I86" s="7"/>
      <c r="J86" s="7">
        <f>D86-G86</f>
        <v>300</v>
      </c>
      <c r="K86" s="6">
        <f>E86-H86</f>
        <v>0</v>
      </c>
      <c r="L86" s="7">
        <f>F86-I86</f>
        <v>300</v>
      </c>
      <c r="M86" s="296" t="s">
        <v>418</v>
      </c>
      <c r="N86" s="71"/>
      <c r="O86" s="8"/>
      <c r="P86" s="7"/>
      <c r="Q86" s="22"/>
      <c r="R86" s="22"/>
      <c r="S86" s="22"/>
      <c r="T86" s="7"/>
      <c r="U86" s="6"/>
      <c r="V86" s="6"/>
      <c r="W86" s="160"/>
      <c r="X86" s="8"/>
      <c r="Y86" s="7"/>
      <c r="Z86" s="7"/>
      <c r="AA86" s="7"/>
      <c r="AB86" s="96"/>
      <c r="AC86" s="8"/>
      <c r="AD86" s="8"/>
      <c r="AE86" s="6"/>
      <c r="AF86" s="161"/>
      <c r="AG86" s="22"/>
      <c r="AH86" s="22"/>
      <c r="AI86" s="22"/>
      <c r="AJ86" s="8"/>
      <c r="AK86" s="6"/>
      <c r="AL86" s="8"/>
      <c r="AM86" s="6"/>
      <c r="AN86" s="72"/>
      <c r="AO86" s="8"/>
      <c r="AP86" s="8"/>
      <c r="AQ86" s="8"/>
      <c r="AR86" s="22"/>
      <c r="AS86" s="22"/>
      <c r="AT86" s="22"/>
      <c r="AU86" s="71"/>
      <c r="AV86" s="22"/>
      <c r="AW86" s="22"/>
      <c r="AX86" s="22"/>
      <c r="AY86" s="73"/>
      <c r="AZ86" s="8"/>
      <c r="BA86" s="8"/>
      <c r="BB86" s="8"/>
      <c r="BC86" s="22"/>
      <c r="BD86" s="22"/>
      <c r="BE86" s="22"/>
      <c r="BF86" s="8"/>
      <c r="BG86" s="22"/>
      <c r="BH86" s="22"/>
      <c r="BI86" s="205"/>
      <c r="BJ86" s="163"/>
      <c r="BK86" s="163"/>
      <c r="BL86" s="163"/>
      <c r="BM86" s="192"/>
      <c r="BN86" s="165"/>
      <c r="BO86" s="165"/>
      <c r="BP86" s="22"/>
      <c r="BQ86" s="6"/>
      <c r="BR86" s="22"/>
      <c r="BS86" s="166"/>
      <c r="BT86" s="2"/>
      <c r="BU86" s="2"/>
    </row>
    <row r="87" spans="1:73" ht="165" customHeight="1" x14ac:dyDescent="0.25">
      <c r="A87" s="11" t="s">
        <v>390</v>
      </c>
      <c r="B87" s="85" t="s">
        <v>348</v>
      </c>
      <c r="C87" s="86" t="s">
        <v>97</v>
      </c>
      <c r="D87" s="71">
        <v>3000</v>
      </c>
      <c r="E87" s="8">
        <v>0</v>
      </c>
      <c r="F87" s="7">
        <f t="shared" si="150"/>
        <v>3000</v>
      </c>
      <c r="G87" s="7"/>
      <c r="H87" s="7"/>
      <c r="I87" s="7"/>
      <c r="J87" s="7">
        <f t="shared" si="151"/>
        <v>3000</v>
      </c>
      <c r="K87" s="6">
        <f t="shared" si="151"/>
        <v>0</v>
      </c>
      <c r="L87" s="7">
        <f t="shared" si="151"/>
        <v>3000</v>
      </c>
      <c r="M87" s="297" t="s">
        <v>416</v>
      </c>
      <c r="N87" s="71"/>
      <c r="O87" s="8"/>
      <c r="P87" s="7"/>
      <c r="Q87" s="22"/>
      <c r="R87" s="22"/>
      <c r="S87" s="22"/>
      <c r="T87" s="7"/>
      <c r="U87" s="6"/>
      <c r="V87" s="6"/>
      <c r="W87" s="160"/>
      <c r="X87" s="8"/>
      <c r="Y87" s="7"/>
      <c r="Z87" s="7"/>
      <c r="AA87" s="7"/>
      <c r="AB87" s="96"/>
      <c r="AC87" s="8"/>
      <c r="AD87" s="8"/>
      <c r="AE87" s="6"/>
      <c r="AF87" s="161"/>
      <c r="AG87" s="22"/>
      <c r="AH87" s="22"/>
      <c r="AI87" s="22"/>
      <c r="AJ87" s="8"/>
      <c r="AK87" s="6"/>
      <c r="AL87" s="8"/>
      <c r="AM87" s="6"/>
      <c r="AN87" s="72"/>
      <c r="AO87" s="8"/>
      <c r="AP87" s="8"/>
      <c r="AQ87" s="8"/>
      <c r="AR87" s="22"/>
      <c r="AS87" s="22"/>
      <c r="AT87" s="22"/>
      <c r="AU87" s="71"/>
      <c r="AV87" s="22"/>
      <c r="AW87" s="22"/>
      <c r="AX87" s="22"/>
      <c r="AY87" s="73"/>
      <c r="AZ87" s="8"/>
      <c r="BA87" s="8"/>
      <c r="BB87" s="8"/>
      <c r="BC87" s="22"/>
      <c r="BD87" s="22"/>
      <c r="BE87" s="22"/>
      <c r="BF87" s="8"/>
      <c r="BG87" s="22"/>
      <c r="BH87" s="22"/>
      <c r="BI87" s="205"/>
      <c r="BJ87" s="163"/>
      <c r="BK87" s="163"/>
      <c r="BL87" s="163"/>
      <c r="BM87" s="192"/>
      <c r="BN87" s="165"/>
      <c r="BO87" s="165"/>
      <c r="BP87" s="22"/>
      <c r="BQ87" s="6"/>
      <c r="BR87" s="22"/>
      <c r="BS87" s="166"/>
      <c r="BT87" s="2"/>
      <c r="BU87" s="2"/>
    </row>
    <row r="88" spans="1:73" ht="55.5" customHeight="1" x14ac:dyDescent="0.25">
      <c r="A88" s="105" t="s">
        <v>135</v>
      </c>
      <c r="B88" s="276" t="s">
        <v>349</v>
      </c>
      <c r="C88" s="86" t="s">
        <v>97</v>
      </c>
      <c r="D88" s="87">
        <v>4580</v>
      </c>
      <c r="E88" s="20">
        <v>0</v>
      </c>
      <c r="F88" s="7">
        <f t="shared" si="150"/>
        <v>4580</v>
      </c>
      <c r="G88" s="7"/>
      <c r="H88" s="7"/>
      <c r="I88" s="7"/>
      <c r="J88" s="7">
        <f t="shared" si="151"/>
        <v>4580</v>
      </c>
      <c r="K88" s="6">
        <f t="shared" si="151"/>
        <v>0</v>
      </c>
      <c r="L88" s="7">
        <f t="shared" si="151"/>
        <v>4580</v>
      </c>
      <c r="M88" s="282" t="s">
        <v>389</v>
      </c>
      <c r="N88" s="71"/>
      <c r="O88" s="8"/>
      <c r="P88" s="7"/>
      <c r="Q88" s="22"/>
      <c r="R88" s="22"/>
      <c r="S88" s="22"/>
      <c r="T88" s="7"/>
      <c r="U88" s="6"/>
      <c r="V88" s="6"/>
      <c r="W88" s="160"/>
      <c r="X88" s="8"/>
      <c r="Y88" s="7"/>
      <c r="Z88" s="7"/>
      <c r="AA88" s="7"/>
      <c r="AB88" s="96"/>
      <c r="AC88" s="8"/>
      <c r="AD88" s="8"/>
      <c r="AE88" s="6"/>
      <c r="AF88" s="161"/>
      <c r="AG88" s="22"/>
      <c r="AH88" s="22"/>
      <c r="AI88" s="22"/>
      <c r="AJ88" s="8"/>
      <c r="AK88" s="6"/>
      <c r="AL88" s="8"/>
      <c r="AM88" s="6"/>
      <c r="AN88" s="72"/>
      <c r="AO88" s="8"/>
      <c r="AP88" s="8"/>
      <c r="AQ88" s="8"/>
      <c r="AR88" s="22"/>
      <c r="AS88" s="22"/>
      <c r="AT88" s="22"/>
      <c r="AU88" s="71"/>
      <c r="AV88" s="22"/>
      <c r="AW88" s="22"/>
      <c r="AX88" s="22"/>
      <c r="AY88" s="73"/>
      <c r="AZ88" s="8"/>
      <c r="BA88" s="8"/>
      <c r="BB88" s="8"/>
      <c r="BC88" s="22"/>
      <c r="BD88" s="22"/>
      <c r="BE88" s="22"/>
      <c r="BF88" s="8"/>
      <c r="BG88" s="22"/>
      <c r="BH88" s="22"/>
      <c r="BI88" s="205"/>
      <c r="BJ88" s="163"/>
      <c r="BK88" s="163"/>
      <c r="BL88" s="163"/>
      <c r="BM88" s="192"/>
      <c r="BN88" s="165"/>
      <c r="BO88" s="165"/>
      <c r="BP88" s="22"/>
      <c r="BQ88" s="6"/>
      <c r="BR88" s="22"/>
      <c r="BS88" s="166"/>
      <c r="BT88" s="2"/>
      <c r="BU88" s="2"/>
    </row>
    <row r="89" spans="1:73" ht="117" customHeight="1" x14ac:dyDescent="0.25">
      <c r="A89" s="105" t="s">
        <v>135</v>
      </c>
      <c r="B89" s="292" t="s">
        <v>392</v>
      </c>
      <c r="C89" s="86" t="s">
        <v>97</v>
      </c>
      <c r="D89" s="87">
        <v>0</v>
      </c>
      <c r="E89" s="20">
        <v>0</v>
      </c>
      <c r="F89" s="7">
        <f t="shared" si="150"/>
        <v>0</v>
      </c>
      <c r="G89" s="7"/>
      <c r="H89" s="7"/>
      <c r="I89" s="7"/>
      <c r="J89" s="7">
        <f t="shared" si="151"/>
        <v>0</v>
      </c>
      <c r="K89" s="6">
        <f t="shared" si="151"/>
        <v>0</v>
      </c>
      <c r="L89" s="7">
        <f t="shared" si="151"/>
        <v>0</v>
      </c>
      <c r="M89" s="294" t="s">
        <v>417</v>
      </c>
      <c r="N89" s="71"/>
      <c r="O89" s="8"/>
      <c r="P89" s="7"/>
      <c r="Q89" s="22"/>
      <c r="R89" s="22"/>
      <c r="S89" s="22"/>
      <c r="T89" s="7"/>
      <c r="U89" s="6"/>
      <c r="V89" s="6"/>
      <c r="W89" s="160"/>
      <c r="X89" s="8"/>
      <c r="Y89" s="7"/>
      <c r="Z89" s="7"/>
      <c r="AA89" s="7"/>
      <c r="AB89" s="96"/>
      <c r="AC89" s="8"/>
      <c r="AD89" s="8"/>
      <c r="AE89" s="6"/>
      <c r="AF89" s="161"/>
      <c r="AG89" s="22"/>
      <c r="AH89" s="22"/>
      <c r="AI89" s="22"/>
      <c r="AJ89" s="8"/>
      <c r="AK89" s="6"/>
      <c r="AL89" s="8"/>
      <c r="AM89" s="6"/>
      <c r="AN89" s="72"/>
      <c r="AO89" s="8"/>
      <c r="AP89" s="8"/>
      <c r="AQ89" s="8"/>
      <c r="AR89" s="22"/>
      <c r="AS89" s="22"/>
      <c r="AT89" s="22"/>
      <c r="AU89" s="71"/>
      <c r="AV89" s="22"/>
      <c r="AW89" s="22"/>
      <c r="AX89" s="22"/>
      <c r="AY89" s="73"/>
      <c r="AZ89" s="8"/>
      <c r="BA89" s="8"/>
      <c r="BB89" s="8"/>
      <c r="BC89" s="22"/>
      <c r="BD89" s="22"/>
      <c r="BE89" s="22"/>
      <c r="BF89" s="8"/>
      <c r="BG89" s="22"/>
      <c r="BH89" s="22"/>
      <c r="BI89" s="205"/>
      <c r="BJ89" s="163"/>
      <c r="BK89" s="163"/>
      <c r="BL89" s="163"/>
      <c r="BM89" s="192"/>
      <c r="BN89" s="165"/>
      <c r="BO89" s="165"/>
      <c r="BP89" s="22"/>
      <c r="BQ89" s="6"/>
      <c r="BR89" s="22"/>
      <c r="BS89" s="166"/>
      <c r="BT89" s="2"/>
      <c r="BU89" s="2"/>
    </row>
    <row r="90" spans="1:73" s="5" customFormat="1" ht="40.5" customHeight="1" x14ac:dyDescent="0.25">
      <c r="A90" s="79"/>
      <c r="B90" s="80" t="s">
        <v>99</v>
      </c>
      <c r="C90" s="81"/>
      <c r="D90" s="82">
        <f t="shared" ref="D90:L90" si="161">SUM(D84:D89)</f>
        <v>12521</v>
      </c>
      <c r="E90" s="16">
        <f t="shared" si="161"/>
        <v>259</v>
      </c>
      <c r="F90" s="15">
        <f t="shared" si="161"/>
        <v>12780</v>
      </c>
      <c r="G90" s="16">
        <f t="shared" si="161"/>
        <v>369.1</v>
      </c>
      <c r="H90" s="16">
        <f t="shared" si="161"/>
        <v>12.950000000000001</v>
      </c>
      <c r="I90" s="16">
        <f t="shared" si="161"/>
        <v>382.05</v>
      </c>
      <c r="J90" s="16">
        <f t="shared" si="161"/>
        <v>12151.9</v>
      </c>
      <c r="K90" s="16">
        <f t="shared" si="161"/>
        <v>246.05</v>
      </c>
      <c r="L90" s="26">
        <f t="shared" si="161"/>
        <v>12397.95</v>
      </c>
      <c r="M90" s="83"/>
      <c r="N90" s="82">
        <f t="shared" ref="N90:AA90" si="162">SUM(N84:N89)</f>
        <v>3887</v>
      </c>
      <c r="O90" s="16">
        <f t="shared" si="162"/>
        <v>104</v>
      </c>
      <c r="P90" s="15">
        <f t="shared" si="162"/>
        <v>3991</v>
      </c>
      <c r="Q90" s="16">
        <f t="shared" si="162"/>
        <v>293.7</v>
      </c>
      <c r="R90" s="16">
        <f t="shared" si="162"/>
        <v>5.2</v>
      </c>
      <c r="S90" s="16">
        <f t="shared" si="162"/>
        <v>298.89999999999998</v>
      </c>
      <c r="T90" s="16">
        <f t="shared" si="162"/>
        <v>3593.3</v>
      </c>
      <c r="U90" s="16">
        <f t="shared" si="162"/>
        <v>98.8</v>
      </c>
      <c r="V90" s="26">
        <f t="shared" si="162"/>
        <v>3692.1</v>
      </c>
      <c r="W90" s="167">
        <f t="shared" si="162"/>
        <v>4</v>
      </c>
      <c r="X90" s="16">
        <f t="shared" si="162"/>
        <v>3593.3</v>
      </c>
      <c r="Y90" s="15">
        <f t="shared" si="162"/>
        <v>94.8</v>
      </c>
      <c r="Z90" s="15">
        <f t="shared" si="162"/>
        <v>3688.1000000000004</v>
      </c>
      <c r="AA90" s="26">
        <f t="shared" si="162"/>
        <v>829.84999999999945</v>
      </c>
      <c r="AB90" s="83"/>
      <c r="AC90" s="16">
        <f t="shared" ref="AC90:AL90" si="163">SUM(AC84:AC85)</f>
        <v>3687</v>
      </c>
      <c r="AD90" s="16">
        <f t="shared" si="163"/>
        <v>104</v>
      </c>
      <c r="AE90" s="14">
        <f t="shared" si="163"/>
        <v>3791</v>
      </c>
      <c r="AF90" s="168">
        <f t="shared" si="163"/>
        <v>8</v>
      </c>
      <c r="AG90" s="16">
        <f t="shared" si="163"/>
        <v>274</v>
      </c>
      <c r="AH90" s="16">
        <f t="shared" si="163"/>
        <v>5</v>
      </c>
      <c r="AI90" s="16">
        <f t="shared" si="163"/>
        <v>279</v>
      </c>
      <c r="AJ90" s="16">
        <f t="shared" si="163"/>
        <v>3413</v>
      </c>
      <c r="AK90" s="16">
        <f t="shared" si="163"/>
        <v>91</v>
      </c>
      <c r="AL90" s="16">
        <f t="shared" si="163"/>
        <v>3504</v>
      </c>
      <c r="AM90" s="26">
        <f>SUM(AM84:AM89)</f>
        <v>188.09999999999991</v>
      </c>
      <c r="AN90" s="83"/>
      <c r="AO90" s="16">
        <f t="shared" ref="AO90:AX90" si="164">SUM(AO84:AO85)</f>
        <v>3687</v>
      </c>
      <c r="AP90" s="16">
        <f t="shared" si="164"/>
        <v>104</v>
      </c>
      <c r="AQ90" s="16">
        <f t="shared" si="164"/>
        <v>3791</v>
      </c>
      <c r="AR90" s="16">
        <f t="shared" si="164"/>
        <v>273.7</v>
      </c>
      <c r="AS90" s="16">
        <f t="shared" si="164"/>
        <v>5.2</v>
      </c>
      <c r="AT90" s="26">
        <f t="shared" si="164"/>
        <v>278.89999999999998</v>
      </c>
      <c r="AU90" s="82">
        <f t="shared" si="164"/>
        <v>3413.3</v>
      </c>
      <c r="AV90" s="16">
        <f t="shared" si="164"/>
        <v>98.8</v>
      </c>
      <c r="AW90" s="16">
        <f t="shared" si="164"/>
        <v>3512.1</v>
      </c>
      <c r="AX90" s="16">
        <f t="shared" si="164"/>
        <v>-8.0999999999999091</v>
      </c>
      <c r="AY90" s="169"/>
      <c r="AZ90" s="16">
        <f t="shared" ref="AZ90:BE90" si="165">SUM(AZ84:AZ85)</f>
        <v>3687</v>
      </c>
      <c r="BA90" s="16">
        <f t="shared" si="165"/>
        <v>104</v>
      </c>
      <c r="BB90" s="16">
        <f t="shared" si="165"/>
        <v>3791</v>
      </c>
      <c r="BC90" s="16">
        <f t="shared" si="165"/>
        <v>274</v>
      </c>
      <c r="BD90" s="16">
        <f t="shared" si="165"/>
        <v>5</v>
      </c>
      <c r="BE90" s="16">
        <f t="shared" si="165"/>
        <v>279</v>
      </c>
      <c r="BF90" s="16">
        <f t="shared" si="18"/>
        <v>3413</v>
      </c>
      <c r="BG90" s="16">
        <f t="shared" si="18"/>
        <v>99</v>
      </c>
      <c r="BH90" s="16">
        <f t="shared" si="18"/>
        <v>3512</v>
      </c>
      <c r="BI90" s="170"/>
      <c r="BJ90" s="171">
        <f t="shared" ref="BJ90:BO90" si="166">SUM(BJ84:BJ85)</f>
        <v>3413</v>
      </c>
      <c r="BK90" s="171">
        <f t="shared" si="166"/>
        <v>99</v>
      </c>
      <c r="BL90" s="171">
        <f t="shared" si="166"/>
        <v>3512</v>
      </c>
      <c r="BM90" s="171">
        <f t="shared" si="166"/>
        <v>274</v>
      </c>
      <c r="BN90" s="171">
        <f t="shared" si="166"/>
        <v>5</v>
      </c>
      <c r="BO90" s="171">
        <f t="shared" si="166"/>
        <v>279</v>
      </c>
      <c r="BP90" s="16">
        <f t="shared" si="149"/>
        <v>3687</v>
      </c>
      <c r="BQ90" s="16">
        <f t="shared" si="149"/>
        <v>104</v>
      </c>
      <c r="BR90" s="16">
        <f t="shared" si="149"/>
        <v>3791</v>
      </c>
      <c r="BS90" s="174"/>
      <c r="BT90" s="2"/>
      <c r="BU90" s="2"/>
    </row>
    <row r="91" spans="1:73" ht="39" x14ac:dyDescent="0.25">
      <c r="A91" s="10" t="s">
        <v>198</v>
      </c>
      <c r="B91" s="9" t="s">
        <v>100</v>
      </c>
      <c r="C91" s="74" t="s">
        <v>100</v>
      </c>
      <c r="D91" s="71">
        <v>1366</v>
      </c>
      <c r="E91" s="7">
        <v>92</v>
      </c>
      <c r="F91" s="7">
        <f t="shared" ref="F91:F96" si="167">SUM(D91:E91)</f>
        <v>1458</v>
      </c>
      <c r="G91" s="6"/>
      <c r="H91" s="6"/>
      <c r="I91" s="6"/>
      <c r="J91" s="7">
        <f t="shared" ref="J91:L96" si="168">D91-G91</f>
        <v>1366</v>
      </c>
      <c r="K91" s="6">
        <f t="shared" si="168"/>
        <v>92</v>
      </c>
      <c r="L91" s="7">
        <f t="shared" si="168"/>
        <v>1458</v>
      </c>
      <c r="M91" s="107" t="s">
        <v>223</v>
      </c>
      <c r="N91" s="71">
        <v>1366</v>
      </c>
      <c r="O91" s="7">
        <v>96</v>
      </c>
      <c r="P91" s="7">
        <f t="shared" ref="P91:P96" si="169">SUM(N91:O91)</f>
        <v>1462</v>
      </c>
      <c r="Q91" s="6"/>
      <c r="R91" s="6"/>
      <c r="S91" s="6"/>
      <c r="T91" s="7">
        <f>N91-Q91</f>
        <v>1366</v>
      </c>
      <c r="U91" s="6">
        <f>O91-R91</f>
        <v>96</v>
      </c>
      <c r="V91" s="6">
        <f>P91-S91</f>
        <v>1462</v>
      </c>
      <c r="W91" s="160">
        <v>4</v>
      </c>
      <c r="X91" s="8">
        <f t="shared" ref="X91:X96" si="170">T91</f>
        <v>1366</v>
      </c>
      <c r="Y91" s="7">
        <f t="shared" ref="Y91:Y96" si="171">U91-W91</f>
        <v>92</v>
      </c>
      <c r="Z91" s="7">
        <f t="shared" ref="Z91:Z96" si="172">X91+Y91</f>
        <v>1458</v>
      </c>
      <c r="AA91" s="22">
        <f t="shared" ref="AA91:AA96" si="173">L91-Z91</f>
        <v>0</v>
      </c>
      <c r="AB91" s="72"/>
      <c r="AC91" s="8">
        <v>1366</v>
      </c>
      <c r="AD91" s="7">
        <v>96</v>
      </c>
      <c r="AE91" s="6">
        <f t="shared" ref="AE91:AE96" si="174">SUM(AC91:AD91)</f>
        <v>1462</v>
      </c>
      <c r="AF91" s="161">
        <v>7</v>
      </c>
      <c r="AG91" s="22"/>
      <c r="AH91" s="6"/>
      <c r="AI91" s="6"/>
      <c r="AJ91" s="7">
        <f>AC91-AG91</f>
        <v>1366</v>
      </c>
      <c r="AK91" s="6">
        <f>AD91-AH91-AF91</f>
        <v>89</v>
      </c>
      <c r="AL91" s="7">
        <f>AE91-AI91-AF91</f>
        <v>1455</v>
      </c>
      <c r="AM91" s="6">
        <f t="shared" ref="AM91:AM96" si="175">V91-AL91</f>
        <v>7</v>
      </c>
      <c r="AN91" s="72"/>
      <c r="AO91" s="8">
        <v>1366</v>
      </c>
      <c r="AP91" s="7">
        <v>96</v>
      </c>
      <c r="AQ91" s="7">
        <f>SUM(AO91:AP91)</f>
        <v>1462</v>
      </c>
      <c r="AR91" s="6"/>
      <c r="AS91" s="6"/>
      <c r="AT91" s="6"/>
      <c r="AU91" s="71">
        <f>AO91-AR91</f>
        <v>1366</v>
      </c>
      <c r="AV91" s="6">
        <f>AP91-AS91</f>
        <v>96</v>
      </c>
      <c r="AW91" s="6">
        <f>AQ91-AT91</f>
        <v>1462</v>
      </c>
      <c r="AX91" s="6">
        <f t="shared" ref="AX91:AX96" si="176">AL91-AW91</f>
        <v>-7</v>
      </c>
      <c r="AY91" s="73"/>
      <c r="AZ91" s="8">
        <f>1216+150</f>
        <v>1366</v>
      </c>
      <c r="BA91" s="7">
        <v>96</v>
      </c>
      <c r="BB91" s="7">
        <f>SUM(AZ91:BA91)</f>
        <v>1462</v>
      </c>
      <c r="BC91" s="6"/>
      <c r="BD91" s="6"/>
      <c r="BE91" s="6"/>
      <c r="BF91" s="7">
        <f t="shared" si="18"/>
        <v>1366</v>
      </c>
      <c r="BG91" s="6">
        <f t="shared" si="18"/>
        <v>96</v>
      </c>
      <c r="BH91" s="6">
        <f t="shared" si="18"/>
        <v>1462</v>
      </c>
      <c r="BI91" s="162"/>
      <c r="BJ91" s="207">
        <v>1216</v>
      </c>
      <c r="BK91" s="208">
        <v>96</v>
      </c>
      <c r="BL91" s="208">
        <f>SUM(BJ91:BK91)</f>
        <v>1312</v>
      </c>
      <c r="BM91" s="209"/>
      <c r="BN91" s="209"/>
      <c r="BO91" s="209"/>
      <c r="BP91" s="210">
        <f t="shared" si="149"/>
        <v>1216</v>
      </c>
      <c r="BQ91" s="210">
        <f t="shared" si="149"/>
        <v>96</v>
      </c>
      <c r="BR91" s="210">
        <f t="shared" si="149"/>
        <v>1312</v>
      </c>
      <c r="BS91" s="211"/>
      <c r="BT91" s="2"/>
      <c r="BU91" s="2"/>
    </row>
    <row r="92" spans="1:73" s="18" customFormat="1" ht="35.1" customHeight="1" x14ac:dyDescent="0.25">
      <c r="A92" s="88" t="s">
        <v>199</v>
      </c>
      <c r="B92" s="85" t="s">
        <v>24</v>
      </c>
      <c r="C92" s="86" t="s">
        <v>100</v>
      </c>
      <c r="D92" s="87">
        <v>700</v>
      </c>
      <c r="E92" s="19">
        <v>0</v>
      </c>
      <c r="F92" s="7">
        <f t="shared" si="167"/>
        <v>700</v>
      </c>
      <c r="G92" s="17"/>
      <c r="H92" s="17"/>
      <c r="I92" s="17"/>
      <c r="J92" s="7">
        <f t="shared" si="168"/>
        <v>700</v>
      </c>
      <c r="K92" s="6">
        <f t="shared" si="168"/>
        <v>0</v>
      </c>
      <c r="L92" s="7">
        <f t="shared" si="168"/>
        <v>700</v>
      </c>
      <c r="M92" s="96"/>
      <c r="N92" s="87">
        <v>700</v>
      </c>
      <c r="O92" s="19">
        <v>0</v>
      </c>
      <c r="P92" s="7">
        <f t="shared" si="169"/>
        <v>700</v>
      </c>
      <c r="Q92" s="17"/>
      <c r="R92" s="17"/>
      <c r="S92" s="17"/>
      <c r="T92" s="7">
        <f t="shared" ref="T92:V96" si="177">N92-Q92</f>
        <v>700</v>
      </c>
      <c r="U92" s="6">
        <f t="shared" si="177"/>
        <v>0</v>
      </c>
      <c r="V92" s="6">
        <f t="shared" si="177"/>
        <v>700</v>
      </c>
      <c r="W92" s="160"/>
      <c r="X92" s="8">
        <f t="shared" si="170"/>
        <v>700</v>
      </c>
      <c r="Y92" s="7">
        <f t="shared" si="171"/>
        <v>0</v>
      </c>
      <c r="Z92" s="7">
        <f t="shared" si="172"/>
        <v>700</v>
      </c>
      <c r="AA92" s="22">
        <f t="shared" si="173"/>
        <v>0</v>
      </c>
      <c r="AB92" s="72"/>
      <c r="AC92" s="20">
        <v>700</v>
      </c>
      <c r="AD92" s="19">
        <v>0</v>
      </c>
      <c r="AE92" s="6">
        <f t="shared" si="174"/>
        <v>700</v>
      </c>
      <c r="AF92" s="161"/>
      <c r="AG92" s="21"/>
      <c r="AH92" s="17"/>
      <c r="AI92" s="17"/>
      <c r="AJ92" s="7">
        <f t="shared" ref="AJ92:AL96" si="178">AC92-AG92</f>
        <v>700</v>
      </c>
      <c r="AK92" s="6">
        <f t="shared" si="178"/>
        <v>0</v>
      </c>
      <c r="AL92" s="7">
        <f t="shared" si="178"/>
        <v>700</v>
      </c>
      <c r="AM92" s="6">
        <f t="shared" si="175"/>
        <v>0</v>
      </c>
      <c r="AN92" s="72"/>
      <c r="AO92" s="20">
        <v>700</v>
      </c>
      <c r="AP92" s="19">
        <v>0</v>
      </c>
      <c r="AQ92" s="7">
        <f>SUM(AO92:AP92)</f>
        <v>700</v>
      </c>
      <c r="AR92" s="17"/>
      <c r="AS92" s="17"/>
      <c r="AT92" s="17"/>
      <c r="AU92" s="71">
        <f t="shared" ref="AU92:AW95" si="179">AO92-AR92</f>
        <v>700</v>
      </c>
      <c r="AV92" s="6">
        <f t="shared" si="179"/>
        <v>0</v>
      </c>
      <c r="AW92" s="6">
        <f t="shared" si="179"/>
        <v>700</v>
      </c>
      <c r="AX92" s="6">
        <f t="shared" si="176"/>
        <v>0</v>
      </c>
      <c r="AY92" s="78"/>
      <c r="AZ92" s="20">
        <f>600+100</f>
        <v>700</v>
      </c>
      <c r="BA92" s="19">
        <v>0</v>
      </c>
      <c r="BB92" s="19">
        <f>SUM(AZ92:BA92)</f>
        <v>700</v>
      </c>
      <c r="BC92" s="17"/>
      <c r="BD92" s="17"/>
      <c r="BE92" s="17"/>
      <c r="BF92" s="19">
        <f t="shared" si="18"/>
        <v>700</v>
      </c>
      <c r="BG92" s="17">
        <f t="shared" si="18"/>
        <v>0</v>
      </c>
      <c r="BH92" s="17">
        <f t="shared" si="18"/>
        <v>700</v>
      </c>
      <c r="BI92" s="179" t="s">
        <v>318</v>
      </c>
      <c r="BJ92" s="180">
        <v>600</v>
      </c>
      <c r="BK92" s="181">
        <v>0</v>
      </c>
      <c r="BL92" s="181">
        <f>SUM(BJ92:BK92)</f>
        <v>600</v>
      </c>
      <c r="BM92" s="182"/>
      <c r="BN92" s="182"/>
      <c r="BO92" s="182"/>
      <c r="BP92" s="17">
        <f t="shared" si="149"/>
        <v>600</v>
      </c>
      <c r="BQ92" s="17">
        <f t="shared" si="149"/>
        <v>0</v>
      </c>
      <c r="BR92" s="17">
        <f t="shared" si="149"/>
        <v>600</v>
      </c>
      <c r="BS92" s="183"/>
      <c r="BT92" s="2"/>
      <c r="BU92" s="2"/>
    </row>
    <row r="93" spans="1:73" ht="49.5" x14ac:dyDescent="0.25">
      <c r="A93" s="10" t="s">
        <v>200</v>
      </c>
      <c r="B93" s="9" t="s">
        <v>25</v>
      </c>
      <c r="C93" s="74" t="s">
        <v>100</v>
      </c>
      <c r="D93" s="71">
        <v>280</v>
      </c>
      <c r="E93" s="7">
        <v>0</v>
      </c>
      <c r="F93" s="7">
        <f t="shared" si="167"/>
        <v>280</v>
      </c>
      <c r="G93" s="6"/>
      <c r="H93" s="6"/>
      <c r="I93" s="6"/>
      <c r="J93" s="7">
        <f t="shared" si="168"/>
        <v>280</v>
      </c>
      <c r="K93" s="6">
        <f t="shared" si="168"/>
        <v>0</v>
      </c>
      <c r="L93" s="7">
        <f t="shared" si="168"/>
        <v>280</v>
      </c>
      <c r="M93" s="96"/>
      <c r="N93" s="71">
        <v>280</v>
      </c>
      <c r="O93" s="7">
        <v>0</v>
      </c>
      <c r="P93" s="7">
        <f t="shared" si="169"/>
        <v>280</v>
      </c>
      <c r="Q93" s="6"/>
      <c r="R93" s="6"/>
      <c r="S93" s="6"/>
      <c r="T93" s="7">
        <f t="shared" si="177"/>
        <v>280</v>
      </c>
      <c r="U93" s="6">
        <f t="shared" si="177"/>
        <v>0</v>
      </c>
      <c r="V93" s="6">
        <f t="shared" si="177"/>
        <v>280</v>
      </c>
      <c r="W93" s="160"/>
      <c r="X93" s="8">
        <f t="shared" si="170"/>
        <v>280</v>
      </c>
      <c r="Y93" s="7">
        <f t="shared" si="171"/>
        <v>0</v>
      </c>
      <c r="Z93" s="7">
        <f t="shared" si="172"/>
        <v>280</v>
      </c>
      <c r="AA93" s="22">
        <f t="shared" si="173"/>
        <v>0</v>
      </c>
      <c r="AB93" s="72"/>
      <c r="AC93" s="8">
        <v>280</v>
      </c>
      <c r="AD93" s="7">
        <v>0</v>
      </c>
      <c r="AE93" s="6">
        <f t="shared" si="174"/>
        <v>280</v>
      </c>
      <c r="AF93" s="161"/>
      <c r="AG93" s="22"/>
      <c r="AH93" s="6"/>
      <c r="AI93" s="6"/>
      <c r="AJ93" s="7">
        <f t="shared" si="178"/>
        <v>280</v>
      </c>
      <c r="AK93" s="6">
        <f t="shared" si="178"/>
        <v>0</v>
      </c>
      <c r="AL93" s="7">
        <f t="shared" si="178"/>
        <v>280</v>
      </c>
      <c r="AM93" s="6">
        <f t="shared" si="175"/>
        <v>0</v>
      </c>
      <c r="AN93" s="72"/>
      <c r="AO93" s="8">
        <v>280</v>
      </c>
      <c r="AP93" s="7">
        <v>0</v>
      </c>
      <c r="AQ93" s="7">
        <f>SUM(AO93:AP93)</f>
        <v>280</v>
      </c>
      <c r="AR93" s="6"/>
      <c r="AS93" s="6"/>
      <c r="AT93" s="6"/>
      <c r="AU93" s="71">
        <f t="shared" si="179"/>
        <v>280</v>
      </c>
      <c r="AV93" s="6">
        <f t="shared" si="179"/>
        <v>0</v>
      </c>
      <c r="AW93" s="6">
        <f t="shared" si="179"/>
        <v>280</v>
      </c>
      <c r="AX93" s="6">
        <f t="shared" si="176"/>
        <v>0</v>
      </c>
      <c r="AY93" s="73"/>
      <c r="AZ93" s="8">
        <v>280</v>
      </c>
      <c r="BA93" s="7">
        <v>0</v>
      </c>
      <c r="BB93" s="7">
        <f>SUM(AZ93:BA93)</f>
        <v>280</v>
      </c>
      <c r="BC93" s="6"/>
      <c r="BD93" s="6"/>
      <c r="BE93" s="6"/>
      <c r="BF93" s="7">
        <f t="shared" si="18"/>
        <v>280</v>
      </c>
      <c r="BG93" s="6">
        <f t="shared" si="18"/>
        <v>0</v>
      </c>
      <c r="BH93" s="6">
        <f t="shared" si="18"/>
        <v>280</v>
      </c>
      <c r="BI93" s="162" t="s">
        <v>311</v>
      </c>
      <c r="BJ93" s="163">
        <v>360</v>
      </c>
      <c r="BK93" s="164">
        <v>0</v>
      </c>
      <c r="BL93" s="164">
        <f>SUM(BJ93:BK93)</f>
        <v>360</v>
      </c>
      <c r="BM93" s="165"/>
      <c r="BN93" s="165"/>
      <c r="BO93" s="165"/>
      <c r="BP93" s="6">
        <f t="shared" si="149"/>
        <v>360</v>
      </c>
      <c r="BQ93" s="6">
        <f t="shared" si="149"/>
        <v>0</v>
      </c>
      <c r="BR93" s="6">
        <f t="shared" si="149"/>
        <v>360</v>
      </c>
      <c r="BS93" s="176" t="s">
        <v>319</v>
      </c>
      <c r="BT93" s="2"/>
      <c r="BU93" s="2"/>
    </row>
    <row r="94" spans="1:73" ht="33" hidden="1" x14ac:dyDescent="0.25">
      <c r="A94" s="10"/>
      <c r="B94" s="9" t="s">
        <v>26</v>
      </c>
      <c r="C94" s="74" t="s">
        <v>100</v>
      </c>
      <c r="D94" s="71">
        <v>0</v>
      </c>
      <c r="E94" s="7">
        <v>0</v>
      </c>
      <c r="F94" s="7">
        <f t="shared" si="167"/>
        <v>0</v>
      </c>
      <c r="G94" s="6"/>
      <c r="H94" s="6"/>
      <c r="I94" s="6"/>
      <c r="J94" s="7">
        <f t="shared" si="168"/>
        <v>0</v>
      </c>
      <c r="K94" s="6">
        <f t="shared" si="168"/>
        <v>0</v>
      </c>
      <c r="L94" s="6">
        <f t="shared" si="168"/>
        <v>0</v>
      </c>
      <c r="M94" s="129" t="s">
        <v>201</v>
      </c>
      <c r="N94" s="71">
        <v>0</v>
      </c>
      <c r="O94" s="7">
        <v>0</v>
      </c>
      <c r="P94" s="7">
        <f t="shared" si="169"/>
        <v>0</v>
      </c>
      <c r="Q94" s="6"/>
      <c r="R94" s="6"/>
      <c r="S94" s="6"/>
      <c r="T94" s="7">
        <f t="shared" si="177"/>
        <v>0</v>
      </c>
      <c r="U94" s="6">
        <f t="shared" si="177"/>
        <v>0</v>
      </c>
      <c r="V94" s="6">
        <f t="shared" si="177"/>
        <v>0</v>
      </c>
      <c r="W94" s="160"/>
      <c r="X94" s="8">
        <f t="shared" si="170"/>
        <v>0</v>
      </c>
      <c r="Y94" s="7">
        <f t="shared" si="171"/>
        <v>0</v>
      </c>
      <c r="Z94" s="7">
        <f t="shared" si="172"/>
        <v>0</v>
      </c>
      <c r="AA94" s="22">
        <f t="shared" si="173"/>
        <v>0</v>
      </c>
      <c r="AB94" s="129" t="s">
        <v>201</v>
      </c>
      <c r="AC94" s="8">
        <v>66</v>
      </c>
      <c r="AD94" s="7">
        <v>0</v>
      </c>
      <c r="AE94" s="6">
        <f t="shared" si="174"/>
        <v>66</v>
      </c>
      <c r="AF94" s="161"/>
      <c r="AG94" s="22"/>
      <c r="AH94" s="6"/>
      <c r="AI94" s="6"/>
      <c r="AJ94" s="7">
        <f t="shared" si="178"/>
        <v>66</v>
      </c>
      <c r="AK94" s="6">
        <f t="shared" si="178"/>
        <v>0</v>
      </c>
      <c r="AL94" s="6">
        <f t="shared" si="178"/>
        <v>66</v>
      </c>
      <c r="AM94" s="6">
        <f t="shared" si="175"/>
        <v>-66</v>
      </c>
      <c r="AN94" s="72"/>
      <c r="AO94" s="8">
        <v>66</v>
      </c>
      <c r="AP94" s="7">
        <v>0</v>
      </c>
      <c r="AQ94" s="7">
        <f>SUM(AO94:AP94)</f>
        <v>66</v>
      </c>
      <c r="AR94" s="6"/>
      <c r="AS94" s="6"/>
      <c r="AT94" s="6"/>
      <c r="AU94" s="71">
        <f t="shared" si="179"/>
        <v>66</v>
      </c>
      <c r="AV94" s="6">
        <f t="shared" si="179"/>
        <v>0</v>
      </c>
      <c r="AW94" s="6">
        <f t="shared" si="179"/>
        <v>66</v>
      </c>
      <c r="AX94" s="6">
        <f t="shared" si="176"/>
        <v>0</v>
      </c>
      <c r="AY94" s="73"/>
      <c r="AZ94" s="8">
        <v>66</v>
      </c>
      <c r="BA94" s="7">
        <v>0</v>
      </c>
      <c r="BB94" s="7">
        <f>SUM(AZ94:BA94)</f>
        <v>66</v>
      </c>
      <c r="BC94" s="6"/>
      <c r="BD94" s="6"/>
      <c r="BE94" s="6"/>
      <c r="BF94" s="7">
        <f t="shared" si="18"/>
        <v>66</v>
      </c>
      <c r="BG94" s="6">
        <f t="shared" si="18"/>
        <v>0</v>
      </c>
      <c r="BH94" s="6">
        <f t="shared" si="18"/>
        <v>66</v>
      </c>
      <c r="BI94" s="162"/>
      <c r="BJ94" s="163">
        <v>66</v>
      </c>
      <c r="BK94" s="164">
        <v>0</v>
      </c>
      <c r="BL94" s="164">
        <f>SUM(BJ94:BK94)</f>
        <v>66</v>
      </c>
      <c r="BM94" s="165"/>
      <c r="BN94" s="165"/>
      <c r="BO94" s="165"/>
      <c r="BP94" s="6">
        <f t="shared" si="149"/>
        <v>66</v>
      </c>
      <c r="BQ94" s="6">
        <f t="shared" si="149"/>
        <v>0</v>
      </c>
      <c r="BR94" s="6">
        <f t="shared" si="149"/>
        <v>66</v>
      </c>
      <c r="BS94" s="176" t="s">
        <v>320</v>
      </c>
      <c r="BT94" s="2"/>
      <c r="BU94" s="2"/>
    </row>
    <row r="95" spans="1:73" ht="101.25" customHeight="1" x14ac:dyDescent="0.25">
      <c r="A95" s="10" t="s">
        <v>202</v>
      </c>
      <c r="B95" s="9" t="s">
        <v>203</v>
      </c>
      <c r="C95" s="74" t="s">
        <v>100</v>
      </c>
      <c r="D95" s="71">
        <v>2050</v>
      </c>
      <c r="E95" s="7">
        <v>0</v>
      </c>
      <c r="F95" s="7">
        <f t="shared" si="167"/>
        <v>2050</v>
      </c>
      <c r="G95" s="6"/>
      <c r="H95" s="6"/>
      <c r="I95" s="6"/>
      <c r="J95" s="7">
        <f t="shared" si="168"/>
        <v>2050</v>
      </c>
      <c r="K95" s="6">
        <f t="shared" si="168"/>
        <v>0</v>
      </c>
      <c r="L95" s="7">
        <f t="shared" si="168"/>
        <v>2050</v>
      </c>
      <c r="M95" s="101" t="s">
        <v>224</v>
      </c>
      <c r="N95" s="71">
        <v>2050</v>
      </c>
      <c r="O95" s="7">
        <v>0</v>
      </c>
      <c r="P95" s="7">
        <f t="shared" si="169"/>
        <v>2050</v>
      </c>
      <c r="Q95" s="6"/>
      <c r="R95" s="6"/>
      <c r="S95" s="6"/>
      <c r="T95" s="7">
        <f t="shared" si="177"/>
        <v>2050</v>
      </c>
      <c r="U95" s="6">
        <f t="shared" si="177"/>
        <v>0</v>
      </c>
      <c r="V95" s="6">
        <f t="shared" si="177"/>
        <v>2050</v>
      </c>
      <c r="W95" s="160"/>
      <c r="X95" s="8">
        <f t="shared" si="170"/>
        <v>2050</v>
      </c>
      <c r="Y95" s="7">
        <f t="shared" si="171"/>
        <v>0</v>
      </c>
      <c r="Z95" s="7">
        <f t="shared" si="172"/>
        <v>2050</v>
      </c>
      <c r="AA95" s="22">
        <f t="shared" si="173"/>
        <v>0</v>
      </c>
      <c r="AB95" s="72" t="s">
        <v>321</v>
      </c>
      <c r="AC95" s="8">
        <v>2050</v>
      </c>
      <c r="AD95" s="7">
        <v>0</v>
      </c>
      <c r="AE95" s="6">
        <f t="shared" si="174"/>
        <v>2050</v>
      </c>
      <c r="AF95" s="161"/>
      <c r="AG95" s="22"/>
      <c r="AH95" s="6"/>
      <c r="AI95" s="6"/>
      <c r="AJ95" s="7">
        <f t="shared" si="178"/>
        <v>2050</v>
      </c>
      <c r="AK95" s="6">
        <f t="shared" si="178"/>
        <v>0</v>
      </c>
      <c r="AL95" s="6">
        <f t="shared" si="178"/>
        <v>2050</v>
      </c>
      <c r="AM95" s="6">
        <f t="shared" si="175"/>
        <v>0</v>
      </c>
      <c r="AN95" s="72" t="s">
        <v>321</v>
      </c>
      <c r="AO95" s="8">
        <v>2050</v>
      </c>
      <c r="AP95" s="7">
        <v>0</v>
      </c>
      <c r="AQ95" s="7">
        <f>SUM(AO95:AP95)</f>
        <v>2050</v>
      </c>
      <c r="AR95" s="6"/>
      <c r="AS95" s="6"/>
      <c r="AT95" s="6"/>
      <c r="AU95" s="71">
        <f t="shared" si="179"/>
        <v>2050</v>
      </c>
      <c r="AV95" s="6">
        <f t="shared" si="179"/>
        <v>0</v>
      </c>
      <c r="AW95" s="6">
        <f t="shared" si="179"/>
        <v>2050</v>
      </c>
      <c r="AX95" s="6">
        <f t="shared" si="176"/>
        <v>0</v>
      </c>
      <c r="AY95" s="78" t="s">
        <v>264</v>
      </c>
      <c r="AZ95" s="8"/>
      <c r="BA95" s="7"/>
      <c r="BB95" s="7"/>
      <c r="BC95" s="6"/>
      <c r="BD95" s="6"/>
      <c r="BE95" s="6"/>
      <c r="BF95" s="7">
        <v>0</v>
      </c>
      <c r="BG95" s="6">
        <v>0</v>
      </c>
      <c r="BH95" s="6">
        <v>0</v>
      </c>
      <c r="BI95" s="162"/>
      <c r="BJ95" s="163"/>
      <c r="BK95" s="164"/>
      <c r="BL95" s="164"/>
      <c r="BM95" s="165"/>
      <c r="BN95" s="165"/>
      <c r="BO95" s="165"/>
      <c r="BP95" s="6"/>
      <c r="BQ95" s="6"/>
      <c r="BR95" s="6"/>
      <c r="BS95" s="176"/>
      <c r="BT95" s="2"/>
      <c r="BU95" s="2"/>
    </row>
    <row r="96" spans="1:73" ht="35.1" customHeight="1" x14ac:dyDescent="0.25">
      <c r="A96" s="88" t="s">
        <v>204</v>
      </c>
      <c r="B96" s="9" t="s">
        <v>101</v>
      </c>
      <c r="C96" s="74" t="s">
        <v>100</v>
      </c>
      <c r="D96" s="71">
        <v>200</v>
      </c>
      <c r="E96" s="8">
        <v>0</v>
      </c>
      <c r="F96" s="7">
        <f t="shared" si="167"/>
        <v>200</v>
      </c>
      <c r="G96" s="6"/>
      <c r="H96" s="6"/>
      <c r="I96" s="6"/>
      <c r="J96" s="7">
        <f t="shared" si="168"/>
        <v>200</v>
      </c>
      <c r="K96" s="6">
        <f t="shared" si="168"/>
        <v>0</v>
      </c>
      <c r="L96" s="7">
        <f t="shared" si="168"/>
        <v>200</v>
      </c>
      <c r="M96" s="101"/>
      <c r="N96" s="71">
        <v>200</v>
      </c>
      <c r="O96" s="8"/>
      <c r="P96" s="7">
        <f t="shared" si="169"/>
        <v>200</v>
      </c>
      <c r="Q96" s="6"/>
      <c r="R96" s="6"/>
      <c r="S96" s="6"/>
      <c r="T96" s="7">
        <f>N96-Q96</f>
        <v>200</v>
      </c>
      <c r="U96" s="6">
        <f t="shared" si="177"/>
        <v>0</v>
      </c>
      <c r="V96" s="6">
        <f t="shared" si="177"/>
        <v>200</v>
      </c>
      <c r="W96" s="160"/>
      <c r="X96" s="8">
        <f t="shared" si="170"/>
        <v>200</v>
      </c>
      <c r="Y96" s="7">
        <f t="shared" si="171"/>
        <v>0</v>
      </c>
      <c r="Z96" s="7">
        <f t="shared" si="172"/>
        <v>200</v>
      </c>
      <c r="AA96" s="22">
        <f t="shared" si="173"/>
        <v>0</v>
      </c>
      <c r="AB96" s="73"/>
      <c r="AC96" s="8">
        <v>200</v>
      </c>
      <c r="AD96" s="8"/>
      <c r="AE96" s="6">
        <f t="shared" si="174"/>
        <v>200</v>
      </c>
      <c r="AF96" s="161"/>
      <c r="AG96" s="22"/>
      <c r="AH96" s="6"/>
      <c r="AI96" s="6"/>
      <c r="AJ96" s="7">
        <f>AC96-AG96</f>
        <v>200</v>
      </c>
      <c r="AK96" s="6">
        <f t="shared" si="178"/>
        <v>0</v>
      </c>
      <c r="AL96" s="6">
        <f t="shared" si="178"/>
        <v>200</v>
      </c>
      <c r="AM96" s="6">
        <f t="shared" si="175"/>
        <v>0</v>
      </c>
      <c r="AN96" s="73" t="s">
        <v>317</v>
      </c>
      <c r="AO96" s="8"/>
      <c r="AP96" s="8"/>
      <c r="AQ96" s="8"/>
      <c r="AR96" s="6"/>
      <c r="AS96" s="6"/>
      <c r="AT96" s="6"/>
      <c r="AU96" s="71"/>
      <c r="AV96" s="6"/>
      <c r="AW96" s="6"/>
      <c r="AX96" s="6">
        <f t="shared" si="176"/>
        <v>200</v>
      </c>
      <c r="AY96" s="78"/>
      <c r="AZ96" s="8"/>
      <c r="BA96" s="7"/>
      <c r="BB96" s="7"/>
      <c r="BC96" s="6"/>
      <c r="BD96" s="6"/>
      <c r="BE96" s="6"/>
      <c r="BF96" s="7"/>
      <c r="BG96" s="6"/>
      <c r="BH96" s="6"/>
      <c r="BI96" s="162"/>
      <c r="BJ96" s="163"/>
      <c r="BK96" s="164"/>
      <c r="BL96" s="164"/>
      <c r="BM96" s="165"/>
      <c r="BN96" s="165"/>
      <c r="BO96" s="165"/>
      <c r="BP96" s="6"/>
      <c r="BQ96" s="6"/>
      <c r="BR96" s="6"/>
      <c r="BS96" s="176"/>
      <c r="BT96" s="2"/>
      <c r="BU96" s="2"/>
    </row>
    <row r="97" spans="1:73" s="5" customFormat="1" ht="35.1" customHeight="1" x14ac:dyDescent="0.25">
      <c r="A97" s="79"/>
      <c r="B97" s="80" t="s">
        <v>205</v>
      </c>
      <c r="C97" s="81"/>
      <c r="D97" s="82">
        <f>SUM(D91:D96)</f>
        <v>4596</v>
      </c>
      <c r="E97" s="16">
        <f>SUM(E91:E96)</f>
        <v>92</v>
      </c>
      <c r="F97" s="16">
        <f>SUM(F91:F96)</f>
        <v>4688</v>
      </c>
      <c r="G97" s="14"/>
      <c r="H97" s="14"/>
      <c r="I97" s="14"/>
      <c r="J97" s="15">
        <f>SUM(J91:J96)</f>
        <v>4596</v>
      </c>
      <c r="K97" s="15">
        <f>SUM(K91:K96)</f>
        <v>92</v>
      </c>
      <c r="L97" s="15">
        <f>SUM(L91:L96)</f>
        <v>4688</v>
      </c>
      <c r="M97" s="91"/>
      <c r="N97" s="82">
        <f>SUM(N91:N96)</f>
        <v>4596</v>
      </c>
      <c r="O97" s="16">
        <f>SUM(O91:O96)</f>
        <v>96</v>
      </c>
      <c r="P97" s="16">
        <f>SUM(P91:P96)</f>
        <v>4692</v>
      </c>
      <c r="Q97" s="14"/>
      <c r="R97" s="14"/>
      <c r="S97" s="14"/>
      <c r="T97" s="15">
        <f t="shared" ref="T97:AA97" si="180">SUM(T91:T96)</f>
        <v>4596</v>
      </c>
      <c r="U97" s="15">
        <f t="shared" si="180"/>
        <v>96</v>
      </c>
      <c r="V97" s="14">
        <f t="shared" si="180"/>
        <v>4692</v>
      </c>
      <c r="W97" s="167">
        <f t="shared" si="180"/>
        <v>4</v>
      </c>
      <c r="X97" s="16">
        <f t="shared" si="180"/>
        <v>4596</v>
      </c>
      <c r="Y97" s="15">
        <f t="shared" si="180"/>
        <v>92</v>
      </c>
      <c r="Z97" s="15">
        <f t="shared" si="180"/>
        <v>4688</v>
      </c>
      <c r="AA97" s="26">
        <f t="shared" si="180"/>
        <v>0</v>
      </c>
      <c r="AB97" s="83"/>
      <c r="AC97" s="16">
        <f>SUM(AC91:AC96)</f>
        <v>4662</v>
      </c>
      <c r="AD97" s="16">
        <f>SUM(AD91:AD96)</f>
        <v>96</v>
      </c>
      <c r="AE97" s="26">
        <f>SUM(AE91:AE96)</f>
        <v>4758</v>
      </c>
      <c r="AF97" s="168">
        <f>SUM(AF91:AF96)</f>
        <v>7</v>
      </c>
      <c r="AG97" s="26"/>
      <c r="AH97" s="14"/>
      <c r="AI97" s="14"/>
      <c r="AJ97" s="15">
        <f>SUM(AJ91:AJ96)</f>
        <v>4662</v>
      </c>
      <c r="AK97" s="15">
        <f>SUM(AK91:AK96)</f>
        <v>89</v>
      </c>
      <c r="AL97" s="15">
        <f>SUM(AL91:AL96)</f>
        <v>4751</v>
      </c>
      <c r="AM97" s="14">
        <f>SUM(AM91:AM96)</f>
        <v>-59</v>
      </c>
      <c r="AN97" s="83"/>
      <c r="AO97" s="16">
        <f>SUM(AO91:AO95)</f>
        <v>4462</v>
      </c>
      <c r="AP97" s="16">
        <f>SUM(AP91:AP95)</f>
        <v>96</v>
      </c>
      <c r="AQ97" s="16">
        <f>SUM(AQ91:AQ95)</f>
        <v>4558</v>
      </c>
      <c r="AR97" s="14"/>
      <c r="AS97" s="14"/>
      <c r="AT97" s="14"/>
      <c r="AU97" s="82">
        <f>SUM(AU91:AU96)</f>
        <v>4462</v>
      </c>
      <c r="AV97" s="15">
        <f>SUM(AV91:AV96)</f>
        <v>96</v>
      </c>
      <c r="AW97" s="15">
        <f>SUM(AW91:AW96)</f>
        <v>4558</v>
      </c>
      <c r="AX97" s="15">
        <f>SUM(AX91:AX96)</f>
        <v>193</v>
      </c>
      <c r="AY97" s="169"/>
      <c r="AZ97" s="16">
        <f>SUM(AZ91:AZ94)</f>
        <v>2412</v>
      </c>
      <c r="BA97" s="15">
        <f>SUM(BA91:BA94)</f>
        <v>96</v>
      </c>
      <c r="BB97" s="15">
        <f>SUM(BB91:BB94)</f>
        <v>2508</v>
      </c>
      <c r="BC97" s="14"/>
      <c r="BD97" s="14"/>
      <c r="BE97" s="14"/>
      <c r="BF97" s="15">
        <f t="shared" si="18"/>
        <v>2412</v>
      </c>
      <c r="BG97" s="14">
        <f t="shared" si="18"/>
        <v>96</v>
      </c>
      <c r="BH97" s="14">
        <f t="shared" si="18"/>
        <v>2508</v>
      </c>
      <c r="BI97" s="170"/>
      <c r="BJ97" s="171">
        <f>SUM(BJ91:BJ94)</f>
        <v>2242</v>
      </c>
      <c r="BK97" s="172">
        <f>SUM(BK91:BK94)</f>
        <v>96</v>
      </c>
      <c r="BL97" s="172">
        <f>SUM(BL91:BL94)</f>
        <v>2338</v>
      </c>
      <c r="BM97" s="173"/>
      <c r="BN97" s="173"/>
      <c r="BO97" s="173"/>
      <c r="BP97" s="14">
        <f t="shared" si="149"/>
        <v>2242</v>
      </c>
      <c r="BQ97" s="14">
        <f t="shared" si="149"/>
        <v>96</v>
      </c>
      <c r="BR97" s="14">
        <f t="shared" si="149"/>
        <v>2338</v>
      </c>
      <c r="BS97" s="174"/>
      <c r="BT97" s="2"/>
      <c r="BU97" s="2"/>
    </row>
    <row r="98" spans="1:73" ht="35.1" customHeight="1" x14ac:dyDescent="0.25">
      <c r="A98" s="11" t="s">
        <v>206</v>
      </c>
      <c r="B98" s="12" t="s">
        <v>27</v>
      </c>
      <c r="C98" s="70" t="s">
        <v>27</v>
      </c>
      <c r="D98" s="71">
        <v>763</v>
      </c>
      <c r="E98" s="7">
        <v>93</v>
      </c>
      <c r="F98" s="7">
        <f>SUM(D98:E98)</f>
        <v>856</v>
      </c>
      <c r="G98" s="6"/>
      <c r="H98" s="6"/>
      <c r="I98" s="6"/>
      <c r="J98" s="7">
        <f t="shared" ref="J98:L99" si="181">D98-G98</f>
        <v>763</v>
      </c>
      <c r="K98" s="6">
        <f t="shared" si="181"/>
        <v>93</v>
      </c>
      <c r="L98" s="6">
        <f t="shared" si="181"/>
        <v>856</v>
      </c>
      <c r="M98" s="72"/>
      <c r="N98" s="71">
        <v>763</v>
      </c>
      <c r="O98" s="7">
        <v>97</v>
      </c>
      <c r="P98" s="7">
        <f>SUM(N98:O98)</f>
        <v>860</v>
      </c>
      <c r="Q98" s="6"/>
      <c r="R98" s="6"/>
      <c r="S98" s="6"/>
      <c r="T98" s="7">
        <f t="shared" ref="T98:V99" si="182">N98-Q98</f>
        <v>763</v>
      </c>
      <c r="U98" s="6">
        <f t="shared" si="182"/>
        <v>97</v>
      </c>
      <c r="V98" s="6">
        <f t="shared" si="182"/>
        <v>860</v>
      </c>
      <c r="W98" s="160">
        <v>4</v>
      </c>
      <c r="X98" s="8">
        <f>T98</f>
        <v>763</v>
      </c>
      <c r="Y98" s="7">
        <f>U98-W98</f>
        <v>93</v>
      </c>
      <c r="Z98" s="7">
        <f>X98+Y98</f>
        <v>856</v>
      </c>
      <c r="AA98" s="22">
        <f>L98-Z98</f>
        <v>0</v>
      </c>
      <c r="AB98" s="72"/>
      <c r="AC98" s="8">
        <v>763</v>
      </c>
      <c r="AD98" s="7">
        <v>97</v>
      </c>
      <c r="AE98" s="6">
        <f>SUM(AC98:AD98)</f>
        <v>860</v>
      </c>
      <c r="AF98" s="161">
        <v>8</v>
      </c>
      <c r="AG98" s="22"/>
      <c r="AH98" s="6"/>
      <c r="AI98" s="6"/>
      <c r="AJ98" s="7">
        <f t="shared" ref="AJ98:AL99" si="183">AC98-AG98</f>
        <v>763</v>
      </c>
      <c r="AK98" s="6">
        <f>AD98-AH98-AF98</f>
        <v>89</v>
      </c>
      <c r="AL98" s="6">
        <f>AE98-AI98-AF98</f>
        <v>852</v>
      </c>
      <c r="AM98" s="6">
        <f>V98-AL98</f>
        <v>8</v>
      </c>
      <c r="AN98" s="72"/>
      <c r="AO98" s="8">
        <v>763</v>
      </c>
      <c r="AP98" s="7">
        <v>97</v>
      </c>
      <c r="AQ98" s="7">
        <f>SUM(AO98:AP98)</f>
        <v>860</v>
      </c>
      <c r="AR98" s="6"/>
      <c r="AS98" s="6"/>
      <c r="AT98" s="6"/>
      <c r="AU98" s="71">
        <f t="shared" ref="AU98:AW99" si="184">AO98-AR98</f>
        <v>763</v>
      </c>
      <c r="AV98" s="6">
        <f t="shared" si="184"/>
        <v>97</v>
      </c>
      <c r="AW98" s="6">
        <f t="shared" si="184"/>
        <v>860</v>
      </c>
      <c r="AX98" s="6">
        <f>AL98-AW98</f>
        <v>-8</v>
      </c>
      <c r="AY98" s="73"/>
      <c r="AZ98" s="8">
        <f>763</f>
        <v>763</v>
      </c>
      <c r="BA98" s="7">
        <v>97</v>
      </c>
      <c r="BB98" s="7">
        <f>SUM(AZ98:BA98)</f>
        <v>860</v>
      </c>
      <c r="BC98" s="6"/>
      <c r="BD98" s="6"/>
      <c r="BE98" s="6"/>
      <c r="BF98" s="7">
        <f t="shared" si="18"/>
        <v>763</v>
      </c>
      <c r="BG98" s="6">
        <f t="shared" si="18"/>
        <v>97</v>
      </c>
      <c r="BH98" s="6">
        <f t="shared" si="18"/>
        <v>860</v>
      </c>
      <c r="BI98" s="162"/>
      <c r="BJ98" s="163">
        <v>763</v>
      </c>
      <c r="BK98" s="164">
        <v>97</v>
      </c>
      <c r="BL98" s="164">
        <f>SUM(BJ98:BK98)</f>
        <v>860</v>
      </c>
      <c r="BM98" s="165"/>
      <c r="BN98" s="165"/>
      <c r="BO98" s="165"/>
      <c r="BP98" s="6">
        <f t="shared" si="149"/>
        <v>763</v>
      </c>
      <c r="BQ98" s="6">
        <f t="shared" si="149"/>
        <v>97</v>
      </c>
      <c r="BR98" s="6">
        <f t="shared" si="149"/>
        <v>860</v>
      </c>
      <c r="BS98" s="166"/>
      <c r="BT98" s="2"/>
      <c r="BU98" s="2"/>
    </row>
    <row r="99" spans="1:73" ht="35.1" customHeight="1" x14ac:dyDescent="0.25">
      <c r="A99" s="11" t="s">
        <v>206</v>
      </c>
      <c r="B99" s="12" t="s">
        <v>102</v>
      </c>
      <c r="C99" s="70" t="s">
        <v>27</v>
      </c>
      <c r="D99" s="71">
        <v>574</v>
      </c>
      <c r="E99" s="7">
        <v>0</v>
      </c>
      <c r="F99" s="7">
        <f>SUM(D99:E99)</f>
        <v>574</v>
      </c>
      <c r="G99" s="6"/>
      <c r="H99" s="6"/>
      <c r="I99" s="6"/>
      <c r="J99" s="7">
        <f t="shared" si="181"/>
        <v>574</v>
      </c>
      <c r="K99" s="6">
        <f t="shared" si="181"/>
        <v>0</v>
      </c>
      <c r="L99" s="6">
        <f t="shared" si="181"/>
        <v>574</v>
      </c>
      <c r="M99" s="72"/>
      <c r="N99" s="71">
        <v>574</v>
      </c>
      <c r="O99" s="7"/>
      <c r="P99" s="7">
        <f>SUM(N99:O99)</f>
        <v>574</v>
      </c>
      <c r="Q99" s="6"/>
      <c r="R99" s="6"/>
      <c r="S99" s="6"/>
      <c r="T99" s="7">
        <f t="shared" si="182"/>
        <v>574</v>
      </c>
      <c r="U99" s="6">
        <f t="shared" si="182"/>
        <v>0</v>
      </c>
      <c r="V99" s="6">
        <f t="shared" si="182"/>
        <v>574</v>
      </c>
      <c r="W99" s="160"/>
      <c r="X99" s="8">
        <f>T99</f>
        <v>574</v>
      </c>
      <c r="Y99" s="7">
        <f>U99-W99</f>
        <v>0</v>
      </c>
      <c r="Z99" s="7">
        <f>X99+Y99</f>
        <v>574</v>
      </c>
      <c r="AA99" s="22">
        <f>L99-Z99</f>
        <v>0</v>
      </c>
      <c r="AB99" s="72"/>
      <c r="AC99" s="8">
        <v>574</v>
      </c>
      <c r="AD99" s="7"/>
      <c r="AE99" s="6">
        <f>SUM(AC99:AD99)</f>
        <v>574</v>
      </c>
      <c r="AF99" s="161"/>
      <c r="AG99" s="22"/>
      <c r="AH99" s="6"/>
      <c r="AI99" s="6"/>
      <c r="AJ99" s="7">
        <f t="shared" si="183"/>
        <v>574</v>
      </c>
      <c r="AK99" s="6">
        <f t="shared" si="183"/>
        <v>0</v>
      </c>
      <c r="AL99" s="6">
        <f t="shared" si="183"/>
        <v>574</v>
      </c>
      <c r="AM99" s="6">
        <f>V99-AL99</f>
        <v>0</v>
      </c>
      <c r="AN99" s="72"/>
      <c r="AO99" s="8">
        <v>574</v>
      </c>
      <c r="AP99" s="7"/>
      <c r="AQ99" s="7">
        <f>SUM(AO99:AP99)</f>
        <v>574</v>
      </c>
      <c r="AR99" s="6"/>
      <c r="AS99" s="6"/>
      <c r="AT99" s="6"/>
      <c r="AU99" s="71">
        <f t="shared" si="184"/>
        <v>574</v>
      </c>
      <c r="AV99" s="6">
        <f t="shared" si="184"/>
        <v>0</v>
      </c>
      <c r="AW99" s="6">
        <f t="shared" si="184"/>
        <v>574</v>
      </c>
      <c r="AX99" s="6">
        <f>AL99-AW99</f>
        <v>0</v>
      </c>
      <c r="AY99" s="73"/>
      <c r="AZ99" s="8"/>
      <c r="BA99" s="7"/>
      <c r="BB99" s="7"/>
      <c r="BC99" s="6"/>
      <c r="BD99" s="6"/>
      <c r="BE99" s="6"/>
      <c r="BF99" s="7"/>
      <c r="BG99" s="6"/>
      <c r="BH99" s="6"/>
      <c r="BI99" s="162"/>
      <c r="BJ99" s="163"/>
      <c r="BK99" s="164"/>
      <c r="BL99" s="164"/>
      <c r="BM99" s="165"/>
      <c r="BN99" s="165"/>
      <c r="BO99" s="165"/>
      <c r="BP99" s="6"/>
      <c r="BQ99" s="6"/>
      <c r="BR99" s="6"/>
      <c r="BS99" s="166"/>
      <c r="BT99" s="2"/>
      <c r="BU99" s="2"/>
    </row>
    <row r="100" spans="1:73" s="5" customFormat="1" ht="35.1" customHeight="1" x14ac:dyDescent="0.25">
      <c r="A100" s="79"/>
      <c r="B100" s="80" t="s">
        <v>28</v>
      </c>
      <c r="C100" s="81"/>
      <c r="D100" s="94">
        <f>SUM(D98:D99)</f>
        <v>1337</v>
      </c>
      <c r="E100" s="14">
        <f t="shared" ref="E100:L100" si="185">SUM(E98:E99)</f>
        <v>93</v>
      </c>
      <c r="F100" s="14">
        <f t="shared" si="185"/>
        <v>1430</v>
      </c>
      <c r="G100" s="15">
        <f t="shared" si="185"/>
        <v>0</v>
      </c>
      <c r="H100" s="26">
        <f t="shared" si="185"/>
        <v>0</v>
      </c>
      <c r="I100" s="15">
        <f t="shared" si="185"/>
        <v>0</v>
      </c>
      <c r="J100" s="26">
        <f t="shared" si="185"/>
        <v>1337</v>
      </c>
      <c r="K100" s="15">
        <f t="shared" si="185"/>
        <v>93</v>
      </c>
      <c r="L100" s="14">
        <f t="shared" si="185"/>
        <v>1430</v>
      </c>
      <c r="M100" s="83"/>
      <c r="N100" s="94">
        <f>SUM(N98:N99)</f>
        <v>1337</v>
      </c>
      <c r="O100" s="14">
        <f t="shared" ref="O100:W100" si="186">SUM(O98:O99)</f>
        <v>97</v>
      </c>
      <c r="P100" s="14">
        <f t="shared" si="186"/>
        <v>1434</v>
      </c>
      <c r="Q100" s="15">
        <f t="shared" si="186"/>
        <v>0</v>
      </c>
      <c r="R100" s="26">
        <f t="shared" si="186"/>
        <v>0</v>
      </c>
      <c r="S100" s="15">
        <f t="shared" si="186"/>
        <v>0</v>
      </c>
      <c r="T100" s="26">
        <f t="shared" si="186"/>
        <v>1337</v>
      </c>
      <c r="U100" s="15">
        <f t="shared" si="186"/>
        <v>97</v>
      </c>
      <c r="V100" s="14">
        <f t="shared" si="186"/>
        <v>1434</v>
      </c>
      <c r="W100" s="167">
        <f t="shared" si="186"/>
        <v>4</v>
      </c>
      <c r="X100" s="16">
        <f>SUM(X98:X99)</f>
        <v>1337</v>
      </c>
      <c r="Y100" s="15">
        <f>SUM(Y98:Y99)</f>
        <v>93</v>
      </c>
      <c r="Z100" s="15">
        <f>SUM(Z98:Z99)</f>
        <v>1430</v>
      </c>
      <c r="AA100" s="26">
        <f>SUM(AA98:AA99)</f>
        <v>0</v>
      </c>
      <c r="AB100" s="83"/>
      <c r="AC100" s="26">
        <f>SUM(AC98:AC99)</f>
        <v>1337</v>
      </c>
      <c r="AD100" s="14">
        <f t="shared" ref="AD100:AL100" si="187">SUM(AD98:AD99)</f>
        <v>97</v>
      </c>
      <c r="AE100" s="14">
        <f t="shared" si="187"/>
        <v>1434</v>
      </c>
      <c r="AF100" s="168">
        <f t="shared" si="187"/>
        <v>8</v>
      </c>
      <c r="AG100" s="16">
        <f t="shared" si="187"/>
        <v>0</v>
      </c>
      <c r="AH100" s="26">
        <f t="shared" si="187"/>
        <v>0</v>
      </c>
      <c r="AI100" s="15">
        <f t="shared" si="187"/>
        <v>0</v>
      </c>
      <c r="AJ100" s="26">
        <f t="shared" si="187"/>
        <v>1337</v>
      </c>
      <c r="AK100" s="15">
        <f t="shared" si="187"/>
        <v>89</v>
      </c>
      <c r="AL100" s="15">
        <f t="shared" si="187"/>
        <v>1426</v>
      </c>
      <c r="AM100" s="15">
        <f>SUM(AM98:AM99)</f>
        <v>8</v>
      </c>
      <c r="AN100" s="91"/>
      <c r="AO100" s="16">
        <f>SUM(AO98:AO99)</f>
        <v>1337</v>
      </c>
      <c r="AP100" s="15">
        <f>SUM(AP98:AP99)</f>
        <v>97</v>
      </c>
      <c r="AQ100" s="15">
        <f>SUM(AQ98:AQ99)</f>
        <v>1434</v>
      </c>
      <c r="AR100" s="15"/>
      <c r="AS100" s="14"/>
      <c r="AT100" s="14"/>
      <c r="AU100" s="82">
        <f>SUM(AU98:AU99)</f>
        <v>1337</v>
      </c>
      <c r="AV100" s="15">
        <f>SUM(AV98:AV99)</f>
        <v>97</v>
      </c>
      <c r="AW100" s="15">
        <f>SUM(AW98:AW99)</f>
        <v>1434</v>
      </c>
      <c r="AX100" s="15">
        <f>SUM(AX98:AX99)</f>
        <v>-8</v>
      </c>
      <c r="AY100" s="169"/>
      <c r="AZ100" s="16">
        <f>SUM(AZ98)</f>
        <v>763</v>
      </c>
      <c r="BA100" s="15">
        <f>SUM(BA98)</f>
        <v>97</v>
      </c>
      <c r="BB100" s="15">
        <f>SUM(BB98)</f>
        <v>860</v>
      </c>
      <c r="BC100" s="14"/>
      <c r="BD100" s="14"/>
      <c r="BE100" s="14"/>
      <c r="BF100" s="15">
        <f t="shared" si="18"/>
        <v>763</v>
      </c>
      <c r="BG100" s="14">
        <f t="shared" si="18"/>
        <v>97</v>
      </c>
      <c r="BH100" s="14">
        <f t="shared" si="18"/>
        <v>860</v>
      </c>
      <c r="BI100" s="170"/>
      <c r="BJ100" s="171">
        <f>SUM(BJ98)</f>
        <v>763</v>
      </c>
      <c r="BK100" s="172">
        <f>SUM(BK98)</f>
        <v>97</v>
      </c>
      <c r="BL100" s="172">
        <f>SUM(BL98)</f>
        <v>860</v>
      </c>
      <c r="BM100" s="173"/>
      <c r="BN100" s="173"/>
      <c r="BO100" s="173"/>
      <c r="BP100" s="14">
        <f t="shared" si="149"/>
        <v>763</v>
      </c>
      <c r="BQ100" s="14">
        <f t="shared" si="149"/>
        <v>97</v>
      </c>
      <c r="BR100" s="14">
        <f t="shared" si="149"/>
        <v>860</v>
      </c>
      <c r="BS100" s="174"/>
      <c r="BT100" s="2"/>
      <c r="BU100" s="2"/>
    </row>
    <row r="101" spans="1:73" ht="39" customHeight="1" x14ac:dyDescent="0.25">
      <c r="A101" s="11" t="s">
        <v>207</v>
      </c>
      <c r="B101" s="85" t="s">
        <v>9</v>
      </c>
      <c r="C101" s="70" t="s">
        <v>29</v>
      </c>
      <c r="D101" s="71">
        <v>5777</v>
      </c>
      <c r="E101" s="7">
        <v>3288</v>
      </c>
      <c r="F101" s="7">
        <f>SUM(D101:E101)</f>
        <v>9065</v>
      </c>
      <c r="G101" s="6"/>
      <c r="H101" s="6"/>
      <c r="I101" s="6"/>
      <c r="J101" s="7">
        <f t="shared" ref="J101:L104" si="188">D101-G101</f>
        <v>5777</v>
      </c>
      <c r="K101" s="6">
        <f t="shared" si="188"/>
        <v>3288</v>
      </c>
      <c r="L101" s="6">
        <f t="shared" si="188"/>
        <v>9065</v>
      </c>
      <c r="M101" s="72"/>
      <c r="N101" s="71">
        <v>5808</v>
      </c>
      <c r="O101" s="7">
        <v>3393</v>
      </c>
      <c r="P101" s="7">
        <f>SUM(N101:O101)</f>
        <v>9201</v>
      </c>
      <c r="Q101" s="6"/>
      <c r="R101" s="6"/>
      <c r="S101" s="6"/>
      <c r="T101" s="7">
        <f>N101-Q101</f>
        <v>5808</v>
      </c>
      <c r="U101" s="6">
        <f>O101-R101</f>
        <v>3393</v>
      </c>
      <c r="V101" s="6">
        <f>P101-S101</f>
        <v>9201</v>
      </c>
      <c r="W101" s="160">
        <v>136</v>
      </c>
      <c r="X101" s="8">
        <f>T101</f>
        <v>5808</v>
      </c>
      <c r="Y101" s="7">
        <f>U101-W101</f>
        <v>3257</v>
      </c>
      <c r="Z101" s="7">
        <f>X101+Y101</f>
        <v>9065</v>
      </c>
      <c r="AA101" s="22">
        <f>L101-Z101</f>
        <v>0</v>
      </c>
      <c r="AB101" s="72"/>
      <c r="AC101" s="8">
        <v>5808</v>
      </c>
      <c r="AD101" s="7">
        <v>3393</v>
      </c>
      <c r="AE101" s="6">
        <f>SUM(AC101:AD101)</f>
        <v>9201</v>
      </c>
      <c r="AF101" s="161">
        <v>264</v>
      </c>
      <c r="AG101" s="22"/>
      <c r="AH101" s="6"/>
      <c r="AI101" s="6"/>
      <c r="AJ101" s="7">
        <f>AC101-AG101</f>
        <v>5808</v>
      </c>
      <c r="AK101" s="6">
        <f>AD101-AH101-AF101</f>
        <v>3129</v>
      </c>
      <c r="AL101" s="7">
        <f>AE101-AI101-AF101</f>
        <v>8937</v>
      </c>
      <c r="AM101" s="6">
        <f>V101-AL101</f>
        <v>264</v>
      </c>
      <c r="AN101" s="72"/>
      <c r="AO101" s="8">
        <v>5808</v>
      </c>
      <c r="AP101" s="7">
        <v>3393</v>
      </c>
      <c r="AQ101" s="7">
        <f>SUM(AO101:AP101)</f>
        <v>9201</v>
      </c>
      <c r="AR101" s="6"/>
      <c r="AS101" s="6"/>
      <c r="AT101" s="6"/>
      <c r="AU101" s="71">
        <f>AO101-AR101</f>
        <v>5808</v>
      </c>
      <c r="AV101" s="6">
        <f>AP101-AS101</f>
        <v>3393</v>
      </c>
      <c r="AW101" s="6">
        <f>AQ101-AT101</f>
        <v>9201</v>
      </c>
      <c r="AX101" s="6">
        <f>AL101-AW101</f>
        <v>-264</v>
      </c>
      <c r="AY101" s="73"/>
      <c r="AZ101" s="8">
        <v>5808</v>
      </c>
      <c r="BA101" s="7">
        <v>3393</v>
      </c>
      <c r="BB101" s="7">
        <f>SUM(AZ101:BA101)</f>
        <v>9201</v>
      </c>
      <c r="BC101" s="6"/>
      <c r="BD101" s="6"/>
      <c r="BE101" s="6"/>
      <c r="BF101" s="7">
        <f t="shared" si="18"/>
        <v>5808</v>
      </c>
      <c r="BG101" s="6">
        <f t="shared" si="18"/>
        <v>3393</v>
      </c>
      <c r="BH101" s="6">
        <f t="shared" si="18"/>
        <v>9201</v>
      </c>
      <c r="BI101" s="162" t="s">
        <v>322</v>
      </c>
      <c r="BJ101" s="163">
        <v>6021</v>
      </c>
      <c r="BK101" s="164">
        <v>3180</v>
      </c>
      <c r="BL101" s="164">
        <f>SUM(BJ101:BK101)</f>
        <v>9201</v>
      </c>
      <c r="BM101" s="165"/>
      <c r="BN101" s="165"/>
      <c r="BO101" s="165"/>
      <c r="BP101" s="6">
        <f t="shared" si="149"/>
        <v>6021</v>
      </c>
      <c r="BQ101" s="6">
        <f t="shared" si="149"/>
        <v>3180</v>
      </c>
      <c r="BR101" s="6">
        <f t="shared" si="149"/>
        <v>9201</v>
      </c>
      <c r="BS101" s="166"/>
      <c r="BT101" s="2"/>
      <c r="BU101" s="2"/>
    </row>
    <row r="102" spans="1:73" ht="51" x14ac:dyDescent="0.25">
      <c r="A102" s="11" t="s">
        <v>207</v>
      </c>
      <c r="B102" s="85" t="s">
        <v>30</v>
      </c>
      <c r="C102" s="70" t="s">
        <v>29</v>
      </c>
      <c r="D102" s="71">
        <v>2200</v>
      </c>
      <c r="E102" s="7">
        <v>0</v>
      </c>
      <c r="F102" s="6">
        <f>SUM(D102:E102)</f>
        <v>2200</v>
      </c>
      <c r="G102" s="6"/>
      <c r="H102" s="6"/>
      <c r="I102" s="6"/>
      <c r="J102" s="7">
        <f t="shared" si="188"/>
        <v>2200</v>
      </c>
      <c r="K102" s="6">
        <f t="shared" si="188"/>
        <v>0</v>
      </c>
      <c r="L102" s="6">
        <f t="shared" si="188"/>
        <v>2200</v>
      </c>
      <c r="M102" s="72"/>
      <c r="N102" s="71">
        <v>2200</v>
      </c>
      <c r="O102" s="7">
        <v>0</v>
      </c>
      <c r="P102" s="6">
        <f>SUM(N102:O102)</f>
        <v>2200</v>
      </c>
      <c r="Q102" s="6"/>
      <c r="R102" s="6"/>
      <c r="S102" s="6"/>
      <c r="T102" s="7">
        <f t="shared" ref="T102:V104" si="189">N102-Q102</f>
        <v>2200</v>
      </c>
      <c r="U102" s="6">
        <f t="shared" si="189"/>
        <v>0</v>
      </c>
      <c r="V102" s="6">
        <f t="shared" si="189"/>
        <v>2200</v>
      </c>
      <c r="W102" s="160"/>
      <c r="X102" s="8">
        <f>T102</f>
        <v>2200</v>
      </c>
      <c r="Y102" s="7">
        <f>U102-W102</f>
        <v>0</v>
      </c>
      <c r="Z102" s="7">
        <f>X102+Y102</f>
        <v>2200</v>
      </c>
      <c r="AA102" s="22">
        <f>L102-Z102</f>
        <v>0</v>
      </c>
      <c r="AB102" s="72"/>
      <c r="AC102" s="8">
        <v>2200</v>
      </c>
      <c r="AD102" s="7">
        <v>0</v>
      </c>
      <c r="AE102" s="6">
        <f>SUM(AC102:AD102)</f>
        <v>2200</v>
      </c>
      <c r="AF102" s="161"/>
      <c r="AG102" s="22"/>
      <c r="AH102" s="6"/>
      <c r="AI102" s="6"/>
      <c r="AJ102" s="7">
        <f t="shared" ref="AJ102:AL104" si="190">AC102-AG102</f>
        <v>2200</v>
      </c>
      <c r="AK102" s="6">
        <f t="shared" si="190"/>
        <v>0</v>
      </c>
      <c r="AL102" s="6">
        <f t="shared" si="190"/>
        <v>2200</v>
      </c>
      <c r="AM102" s="6">
        <f>V102-AL102</f>
        <v>0</v>
      </c>
      <c r="AN102" s="72"/>
      <c r="AO102" s="8">
        <v>2200</v>
      </c>
      <c r="AP102" s="7">
        <v>0</v>
      </c>
      <c r="AQ102" s="7">
        <f>SUM(AO102:AP102)</f>
        <v>2200</v>
      </c>
      <c r="AR102" s="6"/>
      <c r="AS102" s="6"/>
      <c r="AT102" s="6"/>
      <c r="AU102" s="71">
        <f t="shared" ref="AU102:AW104" si="191">AO102-AR102</f>
        <v>2200</v>
      </c>
      <c r="AV102" s="6">
        <f t="shared" si="191"/>
        <v>0</v>
      </c>
      <c r="AW102" s="6">
        <f t="shared" si="191"/>
        <v>2200</v>
      </c>
      <c r="AX102" s="6">
        <f>AL102-AW102</f>
        <v>0</v>
      </c>
      <c r="AY102" s="73"/>
      <c r="AZ102" s="8">
        <v>2200</v>
      </c>
      <c r="BA102" s="7">
        <v>0</v>
      </c>
      <c r="BB102" s="7">
        <f>SUM(AZ102:BA102)</f>
        <v>2200</v>
      </c>
      <c r="BC102" s="6"/>
      <c r="BD102" s="6"/>
      <c r="BE102" s="6"/>
      <c r="BF102" s="7">
        <f t="shared" ref="BF102:BH129" si="192">AZ102-BC102</f>
        <v>2200</v>
      </c>
      <c r="BG102" s="6">
        <f t="shared" si="192"/>
        <v>0</v>
      </c>
      <c r="BH102" s="6">
        <f t="shared" si="192"/>
        <v>2200</v>
      </c>
      <c r="BI102" s="162"/>
      <c r="BJ102" s="163">
        <v>2200</v>
      </c>
      <c r="BK102" s="164">
        <v>0</v>
      </c>
      <c r="BL102" s="164">
        <f>SUM(BJ102:BK102)</f>
        <v>2200</v>
      </c>
      <c r="BM102" s="165"/>
      <c r="BN102" s="165"/>
      <c r="BO102" s="165"/>
      <c r="BP102" s="6">
        <f t="shared" si="149"/>
        <v>2200</v>
      </c>
      <c r="BQ102" s="6">
        <f t="shared" si="149"/>
        <v>0</v>
      </c>
      <c r="BR102" s="6">
        <f t="shared" si="149"/>
        <v>2200</v>
      </c>
      <c r="BS102" s="166"/>
      <c r="BT102" s="2"/>
      <c r="BU102" s="2"/>
    </row>
    <row r="103" spans="1:73" ht="45" customHeight="1" x14ac:dyDescent="0.25">
      <c r="A103" s="11" t="s">
        <v>207</v>
      </c>
      <c r="B103" s="85" t="s">
        <v>103</v>
      </c>
      <c r="C103" s="70" t="s">
        <v>29</v>
      </c>
      <c r="D103" s="71">
        <v>6000</v>
      </c>
      <c r="E103" s="7">
        <v>0</v>
      </c>
      <c r="F103" s="7">
        <f>SUM(D103:E103)</f>
        <v>6000</v>
      </c>
      <c r="G103" s="6"/>
      <c r="H103" s="6"/>
      <c r="I103" s="6"/>
      <c r="J103" s="7">
        <f t="shared" si="188"/>
        <v>6000</v>
      </c>
      <c r="K103" s="6">
        <f t="shared" si="188"/>
        <v>0</v>
      </c>
      <c r="L103" s="6">
        <f t="shared" si="188"/>
        <v>6000</v>
      </c>
      <c r="M103" s="72"/>
      <c r="N103" s="71">
        <v>6000</v>
      </c>
      <c r="O103" s="7">
        <v>0</v>
      </c>
      <c r="P103" s="7">
        <f>SUM(N103:O103)</f>
        <v>6000</v>
      </c>
      <c r="Q103" s="6"/>
      <c r="R103" s="6"/>
      <c r="S103" s="6"/>
      <c r="T103" s="7">
        <f t="shared" si="189"/>
        <v>6000</v>
      </c>
      <c r="U103" s="6">
        <f t="shared" si="189"/>
        <v>0</v>
      </c>
      <c r="V103" s="6">
        <f t="shared" si="189"/>
        <v>6000</v>
      </c>
      <c r="W103" s="160"/>
      <c r="X103" s="8">
        <f>T103</f>
        <v>6000</v>
      </c>
      <c r="Y103" s="7">
        <f>U103-W103</f>
        <v>0</v>
      </c>
      <c r="Z103" s="7">
        <f>X103+Y103</f>
        <v>6000</v>
      </c>
      <c r="AA103" s="22">
        <f>L103-Z103</f>
        <v>0</v>
      </c>
      <c r="AB103" s="72"/>
      <c r="AC103" s="8">
        <v>6000</v>
      </c>
      <c r="AD103" s="7">
        <v>0</v>
      </c>
      <c r="AE103" s="6">
        <f>SUM(AC103:AD103)</f>
        <v>6000</v>
      </c>
      <c r="AF103" s="161"/>
      <c r="AG103" s="22"/>
      <c r="AH103" s="6"/>
      <c r="AI103" s="6"/>
      <c r="AJ103" s="7">
        <f t="shared" si="190"/>
        <v>6000</v>
      </c>
      <c r="AK103" s="6">
        <f t="shared" si="190"/>
        <v>0</v>
      </c>
      <c r="AL103" s="6">
        <f t="shared" si="190"/>
        <v>6000</v>
      </c>
      <c r="AM103" s="6">
        <f>V103-AL103</f>
        <v>0</v>
      </c>
      <c r="AN103" s="72"/>
      <c r="AO103" s="8">
        <v>6000</v>
      </c>
      <c r="AP103" s="7">
        <v>0</v>
      </c>
      <c r="AQ103" s="7">
        <f>SUM(AO103:AP103)</f>
        <v>6000</v>
      </c>
      <c r="AR103" s="6"/>
      <c r="AS103" s="6"/>
      <c r="AT103" s="6"/>
      <c r="AU103" s="71">
        <f t="shared" si="191"/>
        <v>6000</v>
      </c>
      <c r="AV103" s="6">
        <f t="shared" si="191"/>
        <v>0</v>
      </c>
      <c r="AW103" s="6">
        <f t="shared" si="191"/>
        <v>6000</v>
      </c>
      <c r="AX103" s="6">
        <f>AL103-AW103</f>
        <v>0</v>
      </c>
      <c r="AY103" s="73"/>
      <c r="AZ103" s="8">
        <v>6000</v>
      </c>
      <c r="BA103" s="7">
        <v>0</v>
      </c>
      <c r="BB103" s="7">
        <f>SUM(AZ103:BA103)</f>
        <v>6000</v>
      </c>
      <c r="BC103" s="6"/>
      <c r="BD103" s="6"/>
      <c r="BE103" s="6"/>
      <c r="BF103" s="7">
        <f t="shared" si="192"/>
        <v>6000</v>
      </c>
      <c r="BG103" s="6">
        <f t="shared" si="192"/>
        <v>0</v>
      </c>
      <c r="BH103" s="6">
        <f t="shared" si="192"/>
        <v>6000</v>
      </c>
      <c r="BI103" s="162"/>
      <c r="BJ103" s="163">
        <v>6000</v>
      </c>
      <c r="BK103" s="164">
        <v>0</v>
      </c>
      <c r="BL103" s="164">
        <f>SUM(BJ103:BK103)</f>
        <v>6000</v>
      </c>
      <c r="BM103" s="165"/>
      <c r="BN103" s="165"/>
      <c r="BO103" s="165"/>
      <c r="BP103" s="6">
        <f t="shared" si="149"/>
        <v>6000</v>
      </c>
      <c r="BQ103" s="6">
        <f t="shared" si="149"/>
        <v>0</v>
      </c>
      <c r="BR103" s="6">
        <f t="shared" si="149"/>
        <v>6000</v>
      </c>
      <c r="BS103" s="166"/>
      <c r="BT103" s="2"/>
      <c r="BU103" s="2"/>
    </row>
    <row r="104" spans="1:73" ht="51" x14ac:dyDescent="0.25">
      <c r="A104" s="10" t="s">
        <v>207</v>
      </c>
      <c r="B104" s="85" t="s">
        <v>104</v>
      </c>
      <c r="C104" s="74" t="s">
        <v>29</v>
      </c>
      <c r="D104" s="71">
        <v>7779</v>
      </c>
      <c r="E104" s="7">
        <v>2125</v>
      </c>
      <c r="F104" s="6">
        <f>SUM(D104:E104)</f>
        <v>9904</v>
      </c>
      <c r="G104" s="6"/>
      <c r="H104" s="6"/>
      <c r="I104" s="6"/>
      <c r="J104" s="7">
        <f t="shared" si="188"/>
        <v>7779</v>
      </c>
      <c r="K104" s="6">
        <f t="shared" si="188"/>
        <v>2125</v>
      </c>
      <c r="L104" s="6">
        <f t="shared" si="188"/>
        <v>9904</v>
      </c>
      <c r="M104" s="72"/>
      <c r="N104" s="71">
        <v>7619</v>
      </c>
      <c r="O104" s="7">
        <v>2381</v>
      </c>
      <c r="P104" s="6">
        <f>SUM(N104:O104)</f>
        <v>10000</v>
      </c>
      <c r="Q104" s="6"/>
      <c r="R104" s="6"/>
      <c r="S104" s="6"/>
      <c r="T104" s="7">
        <f t="shared" si="189"/>
        <v>7619</v>
      </c>
      <c r="U104" s="6">
        <f t="shared" si="189"/>
        <v>2381</v>
      </c>
      <c r="V104" s="6">
        <f t="shared" si="189"/>
        <v>10000</v>
      </c>
      <c r="W104" s="160">
        <v>96</v>
      </c>
      <c r="X104" s="8">
        <f>T104</f>
        <v>7619</v>
      </c>
      <c r="Y104" s="7">
        <f>U104-W104</f>
        <v>2285</v>
      </c>
      <c r="Z104" s="7">
        <f>X104+Y104</f>
        <v>9904</v>
      </c>
      <c r="AA104" s="22">
        <f>L104-Z104</f>
        <v>0</v>
      </c>
      <c r="AB104" s="72"/>
      <c r="AC104" s="8">
        <v>6371</v>
      </c>
      <c r="AD104" s="7">
        <v>3629</v>
      </c>
      <c r="AE104" s="6">
        <f>SUM(AC104:AD104)</f>
        <v>10000</v>
      </c>
      <c r="AF104" s="161">
        <v>282</v>
      </c>
      <c r="AG104" s="22"/>
      <c r="AH104" s="6"/>
      <c r="AI104" s="6"/>
      <c r="AJ104" s="7">
        <f t="shared" si="190"/>
        <v>6371</v>
      </c>
      <c r="AK104" s="6">
        <f>AD104-AH104-AF104</f>
        <v>3347</v>
      </c>
      <c r="AL104" s="7">
        <f>AE104-AI104-AF104</f>
        <v>9718</v>
      </c>
      <c r="AM104" s="6">
        <f>V104-AL104</f>
        <v>282</v>
      </c>
      <c r="AN104" s="72"/>
      <c r="AO104" s="8">
        <v>4692</v>
      </c>
      <c r="AP104" s="7">
        <v>5308</v>
      </c>
      <c r="AQ104" s="7">
        <f>SUM(AO104:AP104)</f>
        <v>10000</v>
      </c>
      <c r="AR104" s="6"/>
      <c r="AS104" s="6"/>
      <c r="AT104" s="6"/>
      <c r="AU104" s="71">
        <f t="shared" si="191"/>
        <v>4692</v>
      </c>
      <c r="AV104" s="6">
        <f t="shared" si="191"/>
        <v>5308</v>
      </c>
      <c r="AW104" s="6">
        <f t="shared" si="191"/>
        <v>10000</v>
      </c>
      <c r="AX104" s="6">
        <f>AL104-AW104</f>
        <v>-282</v>
      </c>
      <c r="AY104" s="73"/>
      <c r="AZ104" s="8">
        <v>4692</v>
      </c>
      <c r="BA104" s="7">
        <v>5308</v>
      </c>
      <c r="BB104" s="7">
        <f>SUM(AZ104:BA104)</f>
        <v>10000</v>
      </c>
      <c r="BC104" s="6"/>
      <c r="BD104" s="6"/>
      <c r="BE104" s="6"/>
      <c r="BF104" s="7">
        <f t="shared" si="192"/>
        <v>4692</v>
      </c>
      <c r="BG104" s="6">
        <f t="shared" si="192"/>
        <v>5308</v>
      </c>
      <c r="BH104" s="6">
        <f t="shared" si="192"/>
        <v>10000</v>
      </c>
      <c r="BI104" s="162" t="s">
        <v>323</v>
      </c>
      <c r="BJ104" s="163">
        <v>4000</v>
      </c>
      <c r="BK104" s="164">
        <v>6000</v>
      </c>
      <c r="BL104" s="164">
        <f>SUM(BJ104:BK104)</f>
        <v>10000</v>
      </c>
      <c r="BM104" s="165"/>
      <c r="BN104" s="165"/>
      <c r="BO104" s="165"/>
      <c r="BP104" s="6">
        <f t="shared" si="149"/>
        <v>4000</v>
      </c>
      <c r="BQ104" s="6">
        <f t="shared" si="149"/>
        <v>6000</v>
      </c>
      <c r="BR104" s="6">
        <f t="shared" si="149"/>
        <v>10000</v>
      </c>
      <c r="BS104" s="166" t="s">
        <v>324</v>
      </c>
      <c r="BT104" s="2"/>
      <c r="BU104" s="2"/>
    </row>
    <row r="105" spans="1:73" s="5" customFormat="1" ht="25.5" x14ac:dyDescent="0.25">
      <c r="A105" s="79"/>
      <c r="B105" s="80" t="s">
        <v>105</v>
      </c>
      <c r="C105" s="81"/>
      <c r="D105" s="82">
        <f>SUM(D101:D104)</f>
        <v>21756</v>
      </c>
      <c r="E105" s="15">
        <f>SUM(E101:E104)</f>
        <v>5413</v>
      </c>
      <c r="F105" s="15">
        <f>SUM(F101:F104)</f>
        <v>27169</v>
      </c>
      <c r="G105" s="14"/>
      <c r="H105" s="14"/>
      <c r="I105" s="14"/>
      <c r="J105" s="15">
        <f>SUM(J101:J104)</f>
        <v>21756</v>
      </c>
      <c r="K105" s="15">
        <f>SUM(K101:K104)</f>
        <v>5413</v>
      </c>
      <c r="L105" s="14">
        <f>SUM(L101:L104)</f>
        <v>27169</v>
      </c>
      <c r="M105" s="83"/>
      <c r="N105" s="82">
        <f>SUM(N101:N104)</f>
        <v>21627</v>
      </c>
      <c r="O105" s="15">
        <f>SUM(O101:O104)</f>
        <v>5774</v>
      </c>
      <c r="P105" s="15">
        <f>SUM(P101:P104)</f>
        <v>27401</v>
      </c>
      <c r="Q105" s="14"/>
      <c r="R105" s="14"/>
      <c r="S105" s="14"/>
      <c r="T105" s="15">
        <f t="shared" ref="T105:AA105" si="193">SUM(T101:T104)</f>
        <v>21627</v>
      </c>
      <c r="U105" s="15">
        <f t="shared" si="193"/>
        <v>5774</v>
      </c>
      <c r="V105" s="14">
        <f t="shared" si="193"/>
        <v>27401</v>
      </c>
      <c r="W105" s="167">
        <f t="shared" si="193"/>
        <v>232</v>
      </c>
      <c r="X105" s="16">
        <f t="shared" si="193"/>
        <v>21627</v>
      </c>
      <c r="Y105" s="15">
        <f t="shared" si="193"/>
        <v>5542</v>
      </c>
      <c r="Z105" s="15">
        <f t="shared" si="193"/>
        <v>27169</v>
      </c>
      <c r="AA105" s="15">
        <f t="shared" si="193"/>
        <v>0</v>
      </c>
      <c r="AB105" s="91"/>
      <c r="AC105" s="16">
        <f>SUM(AC101:AC104)</f>
        <v>20379</v>
      </c>
      <c r="AD105" s="15">
        <f>SUM(AD101:AD104)</f>
        <v>7022</v>
      </c>
      <c r="AE105" s="14">
        <f>SUM(AE101:AE104)</f>
        <v>27401</v>
      </c>
      <c r="AF105" s="168">
        <f>SUM(AF101:AF104)</f>
        <v>546</v>
      </c>
      <c r="AG105" s="26"/>
      <c r="AH105" s="14"/>
      <c r="AI105" s="14"/>
      <c r="AJ105" s="15">
        <f>SUM(AJ101:AJ104)</f>
        <v>20379</v>
      </c>
      <c r="AK105" s="15">
        <f>SUM(AK101:AK104)</f>
        <v>6476</v>
      </c>
      <c r="AL105" s="15">
        <f>SUM(AL101:AL104)</f>
        <v>26855</v>
      </c>
      <c r="AM105" s="14">
        <f>SUM(AM101:AM104)</f>
        <v>546</v>
      </c>
      <c r="AN105" s="83"/>
      <c r="AO105" s="16">
        <f>SUM(AO101:AO104)</f>
        <v>18700</v>
      </c>
      <c r="AP105" s="15">
        <f>SUM(AP101:AP104)</f>
        <v>8701</v>
      </c>
      <c r="AQ105" s="15">
        <f>SUM(AQ101:AQ104)</f>
        <v>27401</v>
      </c>
      <c r="AR105" s="14"/>
      <c r="AS105" s="14"/>
      <c r="AT105" s="14"/>
      <c r="AU105" s="82">
        <f>SUM(AU101:AU104)</f>
        <v>18700</v>
      </c>
      <c r="AV105" s="15">
        <f>SUM(AV101:AV104)</f>
        <v>8701</v>
      </c>
      <c r="AW105" s="15">
        <f>SUM(AW101:AW104)</f>
        <v>27401</v>
      </c>
      <c r="AX105" s="15">
        <f>SUM(AX101:AX104)</f>
        <v>-546</v>
      </c>
      <c r="AY105" s="169"/>
      <c r="AZ105" s="16">
        <f>SUM(AZ101:AZ104)</f>
        <v>18700</v>
      </c>
      <c r="BA105" s="15">
        <f>SUM(BA101:BA104)</f>
        <v>8701</v>
      </c>
      <c r="BB105" s="15">
        <f>SUM(BB101:BB104)</f>
        <v>27401</v>
      </c>
      <c r="BC105" s="14"/>
      <c r="BD105" s="14"/>
      <c r="BE105" s="14"/>
      <c r="BF105" s="15">
        <f t="shared" si="192"/>
        <v>18700</v>
      </c>
      <c r="BG105" s="14">
        <f t="shared" si="192"/>
        <v>8701</v>
      </c>
      <c r="BH105" s="14">
        <f t="shared" si="192"/>
        <v>27401</v>
      </c>
      <c r="BI105" s="170"/>
      <c r="BJ105" s="171">
        <f>SUM(BJ101:BJ104)</f>
        <v>18221</v>
      </c>
      <c r="BK105" s="172">
        <f>SUM(BK101:BK104)</f>
        <v>9180</v>
      </c>
      <c r="BL105" s="172">
        <f>SUM(BL101:BL104)</f>
        <v>27401</v>
      </c>
      <c r="BM105" s="173"/>
      <c r="BN105" s="173"/>
      <c r="BO105" s="173"/>
      <c r="BP105" s="14">
        <f t="shared" si="149"/>
        <v>18221</v>
      </c>
      <c r="BQ105" s="14">
        <f t="shared" si="149"/>
        <v>9180</v>
      </c>
      <c r="BR105" s="14">
        <f t="shared" si="149"/>
        <v>27401</v>
      </c>
      <c r="BS105" s="174"/>
      <c r="BT105" s="2"/>
      <c r="BU105" s="2"/>
    </row>
    <row r="106" spans="1:73" ht="78.75" customHeight="1" x14ac:dyDescent="0.25">
      <c r="A106" s="10" t="s">
        <v>208</v>
      </c>
      <c r="B106" s="85" t="s">
        <v>10</v>
      </c>
      <c r="C106" s="74" t="s">
        <v>106</v>
      </c>
      <c r="D106" s="71">
        <v>1412</v>
      </c>
      <c r="E106" s="7">
        <v>0</v>
      </c>
      <c r="F106" s="7">
        <f>SUM(D106:E106)</f>
        <v>1412</v>
      </c>
      <c r="G106" s="6">
        <f t="shared" ref="G106:G111" si="194">D106*10%</f>
        <v>141.20000000000002</v>
      </c>
      <c r="H106" s="6"/>
      <c r="I106" s="6">
        <f>SUM(G106:H106)</f>
        <v>141.20000000000002</v>
      </c>
      <c r="J106" s="7">
        <f>D106-G106</f>
        <v>1270.8</v>
      </c>
      <c r="K106" s="6">
        <f>E106-H106</f>
        <v>0</v>
      </c>
      <c r="L106" s="6">
        <f>F106-I106</f>
        <v>1270.8</v>
      </c>
      <c r="M106" s="273" t="s">
        <v>351</v>
      </c>
      <c r="N106" s="71">
        <v>1412</v>
      </c>
      <c r="O106" s="7">
        <v>0</v>
      </c>
      <c r="P106" s="7">
        <f>SUM(N106:O106)</f>
        <v>1412</v>
      </c>
      <c r="Q106" s="6">
        <f t="shared" ref="Q106:Q111" si="195">N106*10%</f>
        <v>141.20000000000002</v>
      </c>
      <c r="R106" s="6"/>
      <c r="S106" s="6">
        <f>SUM(Q106:R106)</f>
        <v>141.20000000000002</v>
      </c>
      <c r="T106" s="7">
        <f>N106-Q106</f>
        <v>1270.8</v>
      </c>
      <c r="U106" s="6">
        <f>O106-R106</f>
        <v>0</v>
      </c>
      <c r="V106" s="6">
        <f>P106-S106</f>
        <v>1270.8</v>
      </c>
      <c r="W106" s="160"/>
      <c r="X106" s="8">
        <f>T106</f>
        <v>1270.8</v>
      </c>
      <c r="Y106" s="7">
        <f>U106-W106</f>
        <v>0</v>
      </c>
      <c r="Z106" s="7">
        <f>X106+Y106</f>
        <v>1270.8</v>
      </c>
      <c r="AA106" s="22">
        <f>L106-Z106</f>
        <v>0</v>
      </c>
      <c r="AB106" s="73" t="s">
        <v>107</v>
      </c>
      <c r="AC106" s="8">
        <v>1468</v>
      </c>
      <c r="AD106" s="7">
        <v>0</v>
      </c>
      <c r="AE106" s="6">
        <f>SUM(AC106:AD106)</f>
        <v>1468</v>
      </c>
      <c r="AF106" s="161"/>
      <c r="AG106" s="22">
        <v>147</v>
      </c>
      <c r="AH106" s="6"/>
      <c r="AI106" s="6">
        <f>SUM(AG106:AH106)</f>
        <v>147</v>
      </c>
      <c r="AJ106" s="7">
        <f>AC106-AG106</f>
        <v>1321</v>
      </c>
      <c r="AK106" s="6">
        <f>AD106-AH106</f>
        <v>0</v>
      </c>
      <c r="AL106" s="7">
        <f>AE106-AI106</f>
        <v>1321</v>
      </c>
      <c r="AM106" s="6">
        <f>V106-AL106</f>
        <v>-50.200000000000045</v>
      </c>
      <c r="AN106" s="73" t="s">
        <v>107</v>
      </c>
      <c r="AO106" s="8">
        <v>1468</v>
      </c>
      <c r="AP106" s="7">
        <v>0</v>
      </c>
      <c r="AQ106" s="7">
        <f>SUM(AO106:AP106)</f>
        <v>1468</v>
      </c>
      <c r="AR106" s="6">
        <f t="shared" ref="AR106:AR111" si="196">AO106*10%</f>
        <v>146.80000000000001</v>
      </c>
      <c r="AS106" s="6"/>
      <c r="AT106" s="6">
        <f>SUM(AR106:AS106)</f>
        <v>146.80000000000001</v>
      </c>
      <c r="AU106" s="71">
        <f>AO106-AR106</f>
        <v>1321.2</v>
      </c>
      <c r="AV106" s="6">
        <f>AP106-AS106</f>
        <v>0</v>
      </c>
      <c r="AW106" s="6">
        <f>AQ106-AT106</f>
        <v>1321.2</v>
      </c>
      <c r="AX106" s="193">
        <f t="shared" ref="AX106:AX111" si="197">AL106-AW106</f>
        <v>-0.20000000000004547</v>
      </c>
      <c r="AY106" s="325" t="s">
        <v>325</v>
      </c>
      <c r="AZ106" s="8">
        <v>1468</v>
      </c>
      <c r="BA106" s="7">
        <v>0</v>
      </c>
      <c r="BB106" s="7">
        <f>SUM(AZ106:BA106)</f>
        <v>1468</v>
      </c>
      <c r="BC106" s="6">
        <v>147</v>
      </c>
      <c r="BD106" s="6"/>
      <c r="BE106" s="6">
        <f t="shared" ref="BE106:BE111" si="198">SUM(BC106:BD106)</f>
        <v>147</v>
      </c>
      <c r="BF106" s="7">
        <f t="shared" si="192"/>
        <v>1321</v>
      </c>
      <c r="BG106" s="6">
        <f t="shared" si="192"/>
        <v>0</v>
      </c>
      <c r="BH106" s="6">
        <f t="shared" si="192"/>
        <v>1321</v>
      </c>
      <c r="BI106" s="320" t="s">
        <v>326</v>
      </c>
      <c r="BJ106" s="206">
        <v>580</v>
      </c>
      <c r="BK106" s="164">
        <v>0</v>
      </c>
      <c r="BL106" s="164">
        <f>SUM(BJ106:BK106)</f>
        <v>580</v>
      </c>
      <c r="BM106" s="165">
        <v>64</v>
      </c>
      <c r="BN106" s="165"/>
      <c r="BO106" s="165">
        <f>SUM(BM106:BN106)</f>
        <v>64</v>
      </c>
      <c r="BP106" s="6">
        <f t="shared" si="149"/>
        <v>644</v>
      </c>
      <c r="BQ106" s="6">
        <f t="shared" si="149"/>
        <v>0</v>
      </c>
      <c r="BR106" s="6">
        <f t="shared" si="149"/>
        <v>644</v>
      </c>
      <c r="BS106" s="166"/>
      <c r="BT106" s="2"/>
      <c r="BU106" s="2"/>
    </row>
    <row r="107" spans="1:73" ht="35.1" customHeight="1" x14ac:dyDescent="0.25">
      <c r="A107" s="10" t="s">
        <v>108</v>
      </c>
      <c r="B107" s="95" t="s">
        <v>109</v>
      </c>
      <c r="C107" s="74" t="s">
        <v>106</v>
      </c>
      <c r="D107" s="71">
        <v>2889</v>
      </c>
      <c r="E107" s="7">
        <v>0</v>
      </c>
      <c r="F107" s="7">
        <f t="shared" ref="F107:F111" si="199">SUM(D107:E107)</f>
        <v>2889</v>
      </c>
      <c r="G107" s="6">
        <f t="shared" si="194"/>
        <v>288.90000000000003</v>
      </c>
      <c r="H107" s="6"/>
      <c r="I107" s="6">
        <f t="shared" ref="I107:I111" si="200">SUM(G107:H107)</f>
        <v>288.90000000000003</v>
      </c>
      <c r="J107" s="7">
        <f t="shared" ref="J107:L111" si="201">D107-G107</f>
        <v>2600.1</v>
      </c>
      <c r="K107" s="6">
        <f t="shared" si="201"/>
        <v>0</v>
      </c>
      <c r="L107" s="6">
        <f t="shared" si="201"/>
        <v>2600.1</v>
      </c>
      <c r="M107" s="126"/>
      <c r="N107" s="8">
        <v>2889</v>
      </c>
      <c r="O107" s="7">
        <v>0</v>
      </c>
      <c r="P107" s="7">
        <f t="shared" ref="P107:P111" si="202">SUM(N107:O107)</f>
        <v>2889</v>
      </c>
      <c r="Q107" s="6">
        <f t="shared" si="195"/>
        <v>288.90000000000003</v>
      </c>
      <c r="R107" s="6"/>
      <c r="S107" s="6">
        <f t="shared" ref="S107:S111" si="203">SUM(Q107:R107)</f>
        <v>288.90000000000003</v>
      </c>
      <c r="T107" s="7">
        <f t="shared" ref="T107:V111" si="204">N107-Q107</f>
        <v>2600.1</v>
      </c>
      <c r="U107" s="6">
        <f t="shared" si="204"/>
        <v>0</v>
      </c>
      <c r="V107" s="6">
        <f t="shared" si="204"/>
        <v>2600.1</v>
      </c>
      <c r="W107" s="160"/>
      <c r="X107" s="8">
        <f t="shared" ref="X107:X111" si="205">T107</f>
        <v>2600.1</v>
      </c>
      <c r="Y107" s="7">
        <f t="shared" ref="Y107:Y111" si="206">U107-W107</f>
        <v>0</v>
      </c>
      <c r="Z107" s="7">
        <f t="shared" ref="Z107:Z111" si="207">X107+Y107</f>
        <v>2600.1</v>
      </c>
      <c r="AA107" s="22">
        <f t="shared" ref="AA107:AA111" si="208">L107-Z107</f>
        <v>0</v>
      </c>
      <c r="AB107" s="72"/>
      <c r="AC107" s="8">
        <v>2889</v>
      </c>
      <c r="AD107" s="7">
        <v>0</v>
      </c>
      <c r="AE107" s="6">
        <f t="shared" ref="AE107:AE111" si="209">SUM(AC107:AD107)</f>
        <v>2889</v>
      </c>
      <c r="AF107" s="161"/>
      <c r="AG107" s="22">
        <v>289</v>
      </c>
      <c r="AH107" s="6"/>
      <c r="AI107" s="6">
        <f t="shared" ref="AI107:AI111" si="210">SUM(AG107:AH107)</f>
        <v>289</v>
      </c>
      <c r="AJ107" s="7">
        <f t="shared" ref="AJ107:AL111" si="211">AC107-AG107</f>
        <v>2600</v>
      </c>
      <c r="AK107" s="6">
        <f t="shared" si="211"/>
        <v>0</v>
      </c>
      <c r="AL107" s="7">
        <f t="shared" si="211"/>
        <v>2600</v>
      </c>
      <c r="AM107" s="6">
        <f t="shared" ref="AM107:AM111" si="212">V107-AL107</f>
        <v>9.9999999999909051E-2</v>
      </c>
      <c r="AN107" s="72"/>
      <c r="AO107" s="8">
        <v>2889</v>
      </c>
      <c r="AP107" s="7">
        <v>0</v>
      </c>
      <c r="AQ107" s="7">
        <f t="shared" ref="AQ107:AQ111" si="213">SUM(AO107:AP107)</f>
        <v>2889</v>
      </c>
      <c r="AR107" s="6">
        <f t="shared" si="196"/>
        <v>288.90000000000003</v>
      </c>
      <c r="AS107" s="6"/>
      <c r="AT107" s="6">
        <f t="shared" ref="AT107:AT111" si="214">SUM(AR107:AS107)</f>
        <v>288.90000000000003</v>
      </c>
      <c r="AU107" s="71">
        <f t="shared" ref="AU107:AW111" si="215">AO107-AR107</f>
        <v>2600.1</v>
      </c>
      <c r="AV107" s="6">
        <f t="shared" si="215"/>
        <v>0</v>
      </c>
      <c r="AW107" s="6">
        <f t="shared" si="215"/>
        <v>2600.1</v>
      </c>
      <c r="AX107" s="193">
        <f t="shared" si="197"/>
        <v>-9.9999999999909051E-2</v>
      </c>
      <c r="AY107" s="326"/>
      <c r="AZ107" s="8">
        <v>2889</v>
      </c>
      <c r="BA107" s="7">
        <v>0</v>
      </c>
      <c r="BB107" s="7">
        <f t="shared" ref="BB107:BB111" si="216">SUM(AZ107:BA107)</f>
        <v>2889</v>
      </c>
      <c r="BC107" s="6">
        <v>289</v>
      </c>
      <c r="BD107" s="6"/>
      <c r="BE107" s="6">
        <f t="shared" si="198"/>
        <v>289</v>
      </c>
      <c r="BF107" s="7">
        <f t="shared" si="192"/>
        <v>2600</v>
      </c>
      <c r="BG107" s="6">
        <f t="shared" si="192"/>
        <v>0</v>
      </c>
      <c r="BH107" s="6">
        <f t="shared" si="192"/>
        <v>2600</v>
      </c>
      <c r="BI107" s="321"/>
      <c r="BJ107" s="163">
        <v>2981</v>
      </c>
      <c r="BK107" s="164">
        <v>0</v>
      </c>
      <c r="BL107" s="164">
        <f t="shared" ref="BL107:BL111" si="217">SUM(BJ107:BK107)</f>
        <v>2981</v>
      </c>
      <c r="BM107" s="165">
        <v>331</v>
      </c>
      <c r="BN107" s="165"/>
      <c r="BO107" s="165">
        <f t="shared" ref="BO107:BO111" si="218">SUM(BM107:BN107)</f>
        <v>331</v>
      </c>
      <c r="BP107" s="6">
        <f t="shared" si="149"/>
        <v>3312</v>
      </c>
      <c r="BQ107" s="6">
        <f t="shared" si="149"/>
        <v>0</v>
      </c>
      <c r="BR107" s="6">
        <f t="shared" si="149"/>
        <v>3312</v>
      </c>
      <c r="BS107" s="166"/>
      <c r="BT107" s="2"/>
      <c r="BU107" s="2"/>
    </row>
    <row r="108" spans="1:73" ht="35.1" customHeight="1" x14ac:dyDescent="0.25">
      <c r="A108" s="10" t="s">
        <v>110</v>
      </c>
      <c r="B108" s="95" t="s">
        <v>111</v>
      </c>
      <c r="C108" s="74" t="s">
        <v>106</v>
      </c>
      <c r="D108" s="71">
        <v>700</v>
      </c>
      <c r="E108" s="7">
        <v>0</v>
      </c>
      <c r="F108" s="7">
        <f t="shared" si="199"/>
        <v>700</v>
      </c>
      <c r="G108" s="6">
        <f t="shared" si="194"/>
        <v>70</v>
      </c>
      <c r="H108" s="6"/>
      <c r="I108" s="6">
        <f t="shared" si="200"/>
        <v>70</v>
      </c>
      <c r="J108" s="7">
        <f t="shared" si="201"/>
        <v>630</v>
      </c>
      <c r="K108" s="6">
        <f t="shared" si="201"/>
        <v>0</v>
      </c>
      <c r="L108" s="6">
        <f t="shared" si="201"/>
        <v>630</v>
      </c>
      <c r="M108" s="126"/>
      <c r="N108" s="8">
        <v>700</v>
      </c>
      <c r="O108" s="7">
        <v>0</v>
      </c>
      <c r="P108" s="7">
        <f t="shared" si="202"/>
        <v>700</v>
      </c>
      <c r="Q108" s="6">
        <f t="shared" si="195"/>
        <v>70</v>
      </c>
      <c r="R108" s="6"/>
      <c r="S108" s="6">
        <f t="shared" si="203"/>
        <v>70</v>
      </c>
      <c r="T108" s="7">
        <f t="shared" si="204"/>
        <v>630</v>
      </c>
      <c r="U108" s="6">
        <f t="shared" si="204"/>
        <v>0</v>
      </c>
      <c r="V108" s="6">
        <f t="shared" si="204"/>
        <v>630</v>
      </c>
      <c r="W108" s="160"/>
      <c r="X108" s="8">
        <f t="shared" si="205"/>
        <v>630</v>
      </c>
      <c r="Y108" s="7">
        <f t="shared" si="206"/>
        <v>0</v>
      </c>
      <c r="Z108" s="7">
        <f t="shared" si="207"/>
        <v>630</v>
      </c>
      <c r="AA108" s="22">
        <f t="shared" si="208"/>
        <v>0</v>
      </c>
      <c r="AB108" s="72"/>
      <c r="AC108" s="8">
        <v>700</v>
      </c>
      <c r="AD108" s="7">
        <v>0</v>
      </c>
      <c r="AE108" s="6">
        <f t="shared" si="209"/>
        <v>700</v>
      </c>
      <c r="AF108" s="161"/>
      <c r="AG108" s="22">
        <v>70</v>
      </c>
      <c r="AH108" s="6"/>
      <c r="AI108" s="6">
        <f t="shared" si="210"/>
        <v>70</v>
      </c>
      <c r="AJ108" s="7">
        <f t="shared" si="211"/>
        <v>630</v>
      </c>
      <c r="AK108" s="6">
        <f t="shared" si="211"/>
        <v>0</v>
      </c>
      <c r="AL108" s="7">
        <f t="shared" si="211"/>
        <v>630</v>
      </c>
      <c r="AM108" s="6">
        <f t="shared" si="212"/>
        <v>0</v>
      </c>
      <c r="AN108" s="72"/>
      <c r="AO108" s="8">
        <v>700</v>
      </c>
      <c r="AP108" s="7">
        <v>0</v>
      </c>
      <c r="AQ108" s="7">
        <f t="shared" si="213"/>
        <v>700</v>
      </c>
      <c r="AR108" s="6">
        <f t="shared" si="196"/>
        <v>70</v>
      </c>
      <c r="AS108" s="6"/>
      <c r="AT108" s="6">
        <f t="shared" si="214"/>
        <v>70</v>
      </c>
      <c r="AU108" s="71">
        <f t="shared" si="215"/>
        <v>630</v>
      </c>
      <c r="AV108" s="6">
        <f t="shared" si="215"/>
        <v>0</v>
      </c>
      <c r="AW108" s="6">
        <f t="shared" si="215"/>
        <v>630</v>
      </c>
      <c r="AX108" s="193">
        <f t="shared" si="197"/>
        <v>0</v>
      </c>
      <c r="AY108" s="326"/>
      <c r="AZ108" s="8">
        <v>644</v>
      </c>
      <c r="BA108" s="7">
        <v>0</v>
      </c>
      <c r="BB108" s="7">
        <f t="shared" si="216"/>
        <v>644</v>
      </c>
      <c r="BC108" s="6">
        <v>64</v>
      </c>
      <c r="BD108" s="6"/>
      <c r="BE108" s="6">
        <f t="shared" si="198"/>
        <v>64</v>
      </c>
      <c r="BF108" s="7">
        <f t="shared" si="192"/>
        <v>580</v>
      </c>
      <c r="BG108" s="6">
        <f t="shared" si="192"/>
        <v>0</v>
      </c>
      <c r="BH108" s="6">
        <f t="shared" si="192"/>
        <v>580</v>
      </c>
      <c r="BI108" s="321"/>
      <c r="BJ108" s="206">
        <v>417</v>
      </c>
      <c r="BK108" s="164">
        <v>0</v>
      </c>
      <c r="BL108" s="164">
        <f t="shared" si="217"/>
        <v>417</v>
      </c>
      <c r="BM108" s="165">
        <v>46</v>
      </c>
      <c r="BN108" s="165"/>
      <c r="BO108" s="165">
        <f t="shared" si="218"/>
        <v>46</v>
      </c>
      <c r="BP108" s="6">
        <f t="shared" si="149"/>
        <v>463</v>
      </c>
      <c r="BQ108" s="6">
        <f t="shared" si="149"/>
        <v>0</v>
      </c>
      <c r="BR108" s="6">
        <f t="shared" si="149"/>
        <v>463</v>
      </c>
      <c r="BS108" s="166"/>
      <c r="BT108" s="2"/>
      <c r="BU108" s="2"/>
    </row>
    <row r="109" spans="1:73" ht="35.1" customHeight="1" x14ac:dyDescent="0.25">
      <c r="A109" s="10" t="s">
        <v>112</v>
      </c>
      <c r="B109" s="85" t="s">
        <v>113</v>
      </c>
      <c r="C109" s="74" t="s">
        <v>106</v>
      </c>
      <c r="D109" s="71">
        <v>444</v>
      </c>
      <c r="E109" s="7">
        <v>0</v>
      </c>
      <c r="F109" s="7">
        <f t="shared" si="199"/>
        <v>444</v>
      </c>
      <c r="G109" s="6">
        <f t="shared" si="194"/>
        <v>44.400000000000006</v>
      </c>
      <c r="H109" s="6"/>
      <c r="I109" s="6">
        <f t="shared" si="200"/>
        <v>44.400000000000006</v>
      </c>
      <c r="J109" s="7">
        <f t="shared" si="201"/>
        <v>399.6</v>
      </c>
      <c r="K109" s="6">
        <f t="shared" si="201"/>
        <v>0</v>
      </c>
      <c r="L109" s="6">
        <f t="shared" si="201"/>
        <v>399.6</v>
      </c>
      <c r="M109" s="126"/>
      <c r="N109" s="8">
        <v>444</v>
      </c>
      <c r="O109" s="7">
        <v>0</v>
      </c>
      <c r="P109" s="7">
        <f t="shared" si="202"/>
        <v>444</v>
      </c>
      <c r="Q109" s="6">
        <f t="shared" si="195"/>
        <v>44.400000000000006</v>
      </c>
      <c r="R109" s="6"/>
      <c r="S109" s="6">
        <f t="shared" si="203"/>
        <v>44.400000000000006</v>
      </c>
      <c r="T109" s="7">
        <f t="shared" si="204"/>
        <v>399.6</v>
      </c>
      <c r="U109" s="6">
        <f t="shared" si="204"/>
        <v>0</v>
      </c>
      <c r="V109" s="6">
        <f t="shared" si="204"/>
        <v>399.6</v>
      </c>
      <c r="W109" s="160"/>
      <c r="X109" s="8">
        <f t="shared" si="205"/>
        <v>399.6</v>
      </c>
      <c r="Y109" s="7">
        <f t="shared" si="206"/>
        <v>0</v>
      </c>
      <c r="Z109" s="7">
        <f t="shared" si="207"/>
        <v>399.6</v>
      </c>
      <c r="AA109" s="22">
        <f t="shared" si="208"/>
        <v>0</v>
      </c>
      <c r="AB109" s="72"/>
      <c r="AC109" s="8">
        <v>389</v>
      </c>
      <c r="AD109" s="7">
        <v>0</v>
      </c>
      <c r="AE109" s="6">
        <f t="shared" si="209"/>
        <v>389</v>
      </c>
      <c r="AF109" s="161"/>
      <c r="AG109" s="22">
        <v>39</v>
      </c>
      <c r="AH109" s="6"/>
      <c r="AI109" s="6">
        <f t="shared" si="210"/>
        <v>39</v>
      </c>
      <c r="AJ109" s="7">
        <f t="shared" si="211"/>
        <v>350</v>
      </c>
      <c r="AK109" s="6">
        <f t="shared" si="211"/>
        <v>0</v>
      </c>
      <c r="AL109" s="7">
        <f t="shared" si="211"/>
        <v>350</v>
      </c>
      <c r="AM109" s="6">
        <f t="shared" si="212"/>
        <v>49.600000000000023</v>
      </c>
      <c r="AN109" s="72"/>
      <c r="AO109" s="8">
        <v>389</v>
      </c>
      <c r="AP109" s="7">
        <v>0</v>
      </c>
      <c r="AQ109" s="7">
        <f t="shared" si="213"/>
        <v>389</v>
      </c>
      <c r="AR109" s="6">
        <f t="shared" si="196"/>
        <v>38.900000000000006</v>
      </c>
      <c r="AS109" s="6"/>
      <c r="AT109" s="6">
        <f t="shared" si="214"/>
        <v>38.900000000000006</v>
      </c>
      <c r="AU109" s="71">
        <f t="shared" si="215"/>
        <v>350.1</v>
      </c>
      <c r="AV109" s="6">
        <f t="shared" si="215"/>
        <v>0</v>
      </c>
      <c r="AW109" s="6">
        <f t="shared" si="215"/>
        <v>350.1</v>
      </c>
      <c r="AX109" s="193">
        <f t="shared" si="197"/>
        <v>-0.10000000000002274</v>
      </c>
      <c r="AY109" s="326"/>
      <c r="AZ109" s="8">
        <v>444</v>
      </c>
      <c r="BA109" s="7">
        <v>0</v>
      </c>
      <c r="BB109" s="7">
        <f t="shared" si="216"/>
        <v>444</v>
      </c>
      <c r="BC109" s="6">
        <v>44</v>
      </c>
      <c r="BD109" s="6"/>
      <c r="BE109" s="6">
        <f t="shared" si="198"/>
        <v>44</v>
      </c>
      <c r="BF109" s="7">
        <f t="shared" si="192"/>
        <v>400</v>
      </c>
      <c r="BG109" s="6">
        <f t="shared" si="192"/>
        <v>0</v>
      </c>
      <c r="BH109" s="6">
        <f t="shared" si="192"/>
        <v>400</v>
      </c>
      <c r="BI109" s="321"/>
      <c r="BJ109" s="206">
        <v>364</v>
      </c>
      <c r="BK109" s="164">
        <v>0</v>
      </c>
      <c r="BL109" s="164">
        <f t="shared" si="217"/>
        <v>364</v>
      </c>
      <c r="BM109" s="165">
        <v>41</v>
      </c>
      <c r="BN109" s="165"/>
      <c r="BO109" s="165">
        <f t="shared" si="218"/>
        <v>41</v>
      </c>
      <c r="BP109" s="6">
        <f t="shared" si="149"/>
        <v>405</v>
      </c>
      <c r="BQ109" s="6">
        <f t="shared" si="149"/>
        <v>0</v>
      </c>
      <c r="BR109" s="6">
        <f t="shared" si="149"/>
        <v>405</v>
      </c>
      <c r="BS109" s="166"/>
      <c r="BT109" s="2"/>
      <c r="BU109" s="2"/>
    </row>
    <row r="110" spans="1:73" ht="35.1" customHeight="1" x14ac:dyDescent="0.25">
      <c r="A110" s="10" t="s">
        <v>11</v>
      </c>
      <c r="B110" s="85" t="s">
        <v>114</v>
      </c>
      <c r="C110" s="74" t="s">
        <v>106</v>
      </c>
      <c r="D110" s="71">
        <v>333</v>
      </c>
      <c r="E110" s="7">
        <v>0</v>
      </c>
      <c r="F110" s="7">
        <f t="shared" si="199"/>
        <v>333</v>
      </c>
      <c r="G110" s="6">
        <f t="shared" si="194"/>
        <v>33.300000000000004</v>
      </c>
      <c r="H110" s="6"/>
      <c r="I110" s="6">
        <f t="shared" si="200"/>
        <v>33.300000000000004</v>
      </c>
      <c r="J110" s="7">
        <f t="shared" si="201"/>
        <v>299.7</v>
      </c>
      <c r="K110" s="6">
        <f t="shared" si="201"/>
        <v>0</v>
      </c>
      <c r="L110" s="6">
        <f t="shared" si="201"/>
        <v>299.7</v>
      </c>
      <c r="M110" s="126"/>
      <c r="N110" s="8">
        <v>333</v>
      </c>
      <c r="O110" s="7">
        <v>0</v>
      </c>
      <c r="P110" s="7">
        <f t="shared" si="202"/>
        <v>333</v>
      </c>
      <c r="Q110" s="6">
        <f t="shared" si="195"/>
        <v>33.300000000000004</v>
      </c>
      <c r="R110" s="6"/>
      <c r="S110" s="6">
        <f t="shared" si="203"/>
        <v>33.300000000000004</v>
      </c>
      <c r="T110" s="7">
        <f t="shared" si="204"/>
        <v>299.7</v>
      </c>
      <c r="U110" s="6">
        <f t="shared" si="204"/>
        <v>0</v>
      </c>
      <c r="V110" s="6">
        <f t="shared" si="204"/>
        <v>299.7</v>
      </c>
      <c r="W110" s="160"/>
      <c r="X110" s="8">
        <f t="shared" si="205"/>
        <v>299.7</v>
      </c>
      <c r="Y110" s="7">
        <f t="shared" si="206"/>
        <v>0</v>
      </c>
      <c r="Z110" s="7">
        <f t="shared" si="207"/>
        <v>299.7</v>
      </c>
      <c r="AA110" s="22">
        <f t="shared" si="208"/>
        <v>0</v>
      </c>
      <c r="AB110" s="72"/>
      <c r="AC110" s="8">
        <v>333</v>
      </c>
      <c r="AD110" s="7">
        <v>0</v>
      </c>
      <c r="AE110" s="6">
        <f t="shared" si="209"/>
        <v>333</v>
      </c>
      <c r="AF110" s="161"/>
      <c r="AG110" s="22">
        <v>33</v>
      </c>
      <c r="AH110" s="6"/>
      <c r="AI110" s="6">
        <f t="shared" si="210"/>
        <v>33</v>
      </c>
      <c r="AJ110" s="7">
        <f t="shared" si="211"/>
        <v>300</v>
      </c>
      <c r="AK110" s="6">
        <f t="shared" si="211"/>
        <v>0</v>
      </c>
      <c r="AL110" s="7">
        <f t="shared" si="211"/>
        <v>300</v>
      </c>
      <c r="AM110" s="193">
        <f t="shared" si="212"/>
        <v>-0.30000000000001137</v>
      </c>
      <c r="AN110" s="72"/>
      <c r="AO110" s="8">
        <v>333</v>
      </c>
      <c r="AP110" s="7">
        <v>0</v>
      </c>
      <c r="AQ110" s="7">
        <f t="shared" si="213"/>
        <v>333</v>
      </c>
      <c r="AR110" s="6">
        <f t="shared" si="196"/>
        <v>33.300000000000004</v>
      </c>
      <c r="AS110" s="6"/>
      <c r="AT110" s="6">
        <f t="shared" si="214"/>
        <v>33.300000000000004</v>
      </c>
      <c r="AU110" s="71">
        <f t="shared" si="215"/>
        <v>299.7</v>
      </c>
      <c r="AV110" s="6">
        <f t="shared" si="215"/>
        <v>0</v>
      </c>
      <c r="AW110" s="6">
        <f t="shared" si="215"/>
        <v>299.7</v>
      </c>
      <c r="AX110" s="193">
        <f t="shared" si="197"/>
        <v>0.30000000000001137</v>
      </c>
      <c r="AY110" s="326"/>
      <c r="AZ110" s="8">
        <v>333</v>
      </c>
      <c r="BA110" s="7">
        <v>0</v>
      </c>
      <c r="BB110" s="7">
        <f t="shared" si="216"/>
        <v>333</v>
      </c>
      <c r="BC110" s="6">
        <v>33</v>
      </c>
      <c r="BD110" s="6"/>
      <c r="BE110" s="6">
        <f t="shared" si="198"/>
        <v>33</v>
      </c>
      <c r="BF110" s="7">
        <f t="shared" si="192"/>
        <v>300</v>
      </c>
      <c r="BG110" s="6">
        <f t="shared" si="192"/>
        <v>0</v>
      </c>
      <c r="BH110" s="6">
        <f t="shared" si="192"/>
        <v>300</v>
      </c>
      <c r="BI110" s="321"/>
      <c r="BJ110" s="206">
        <v>186</v>
      </c>
      <c r="BK110" s="164">
        <v>0</v>
      </c>
      <c r="BL110" s="164">
        <f t="shared" si="217"/>
        <v>186</v>
      </c>
      <c r="BM110" s="165">
        <v>21</v>
      </c>
      <c r="BN110" s="165"/>
      <c r="BO110" s="165">
        <f t="shared" si="218"/>
        <v>21</v>
      </c>
      <c r="BP110" s="6">
        <f t="shared" si="149"/>
        <v>207</v>
      </c>
      <c r="BQ110" s="6">
        <f t="shared" si="149"/>
        <v>0</v>
      </c>
      <c r="BR110" s="6">
        <f t="shared" si="149"/>
        <v>207</v>
      </c>
      <c r="BS110" s="166"/>
      <c r="BT110" s="2"/>
      <c r="BU110" s="2"/>
    </row>
    <row r="111" spans="1:73" ht="35.1" customHeight="1" x14ac:dyDescent="0.25">
      <c r="A111" s="10" t="s">
        <v>115</v>
      </c>
      <c r="B111" s="97" t="s">
        <v>116</v>
      </c>
      <c r="C111" s="74" t="s">
        <v>106</v>
      </c>
      <c r="D111" s="71">
        <v>56</v>
      </c>
      <c r="E111" s="7">
        <v>0</v>
      </c>
      <c r="F111" s="7">
        <f t="shared" si="199"/>
        <v>56</v>
      </c>
      <c r="G111" s="6">
        <f t="shared" si="194"/>
        <v>5.6000000000000005</v>
      </c>
      <c r="H111" s="6"/>
      <c r="I111" s="6">
        <f t="shared" si="200"/>
        <v>5.6000000000000005</v>
      </c>
      <c r="J111" s="7">
        <f t="shared" si="201"/>
        <v>50.4</v>
      </c>
      <c r="K111" s="6">
        <f t="shared" si="201"/>
        <v>0</v>
      </c>
      <c r="L111" s="6">
        <f t="shared" si="201"/>
        <v>50.4</v>
      </c>
      <c r="M111" s="126"/>
      <c r="N111" s="8">
        <v>56</v>
      </c>
      <c r="O111" s="7">
        <v>0</v>
      </c>
      <c r="P111" s="7">
        <f t="shared" si="202"/>
        <v>56</v>
      </c>
      <c r="Q111" s="6">
        <f t="shared" si="195"/>
        <v>5.6000000000000005</v>
      </c>
      <c r="R111" s="6"/>
      <c r="S111" s="6">
        <f t="shared" si="203"/>
        <v>5.6000000000000005</v>
      </c>
      <c r="T111" s="7">
        <f t="shared" si="204"/>
        <v>50.4</v>
      </c>
      <c r="U111" s="6">
        <f t="shared" si="204"/>
        <v>0</v>
      </c>
      <c r="V111" s="6">
        <f t="shared" si="204"/>
        <v>50.4</v>
      </c>
      <c r="W111" s="160"/>
      <c r="X111" s="8">
        <f t="shared" si="205"/>
        <v>50.4</v>
      </c>
      <c r="Y111" s="7">
        <f t="shared" si="206"/>
        <v>0</v>
      </c>
      <c r="Z111" s="7">
        <f t="shared" si="207"/>
        <v>50.4</v>
      </c>
      <c r="AA111" s="22">
        <f t="shared" si="208"/>
        <v>0</v>
      </c>
      <c r="AB111" s="72"/>
      <c r="AC111" s="8">
        <v>56</v>
      </c>
      <c r="AD111" s="7">
        <v>0</v>
      </c>
      <c r="AE111" s="6">
        <f t="shared" si="209"/>
        <v>56</v>
      </c>
      <c r="AF111" s="161"/>
      <c r="AG111" s="22">
        <v>6</v>
      </c>
      <c r="AH111" s="6"/>
      <c r="AI111" s="6">
        <f t="shared" si="210"/>
        <v>6</v>
      </c>
      <c r="AJ111" s="7">
        <f t="shared" si="211"/>
        <v>50</v>
      </c>
      <c r="AK111" s="6">
        <f t="shared" si="211"/>
        <v>0</v>
      </c>
      <c r="AL111" s="7">
        <f t="shared" si="211"/>
        <v>50</v>
      </c>
      <c r="AM111" s="6">
        <f t="shared" si="212"/>
        <v>0.39999999999999858</v>
      </c>
      <c r="AN111" s="72"/>
      <c r="AO111" s="8">
        <v>56</v>
      </c>
      <c r="AP111" s="7">
        <v>0</v>
      </c>
      <c r="AQ111" s="7">
        <f t="shared" si="213"/>
        <v>56</v>
      </c>
      <c r="AR111" s="6">
        <f t="shared" si="196"/>
        <v>5.6000000000000005</v>
      </c>
      <c r="AS111" s="6"/>
      <c r="AT111" s="6">
        <f t="shared" si="214"/>
        <v>5.6000000000000005</v>
      </c>
      <c r="AU111" s="71">
        <f t="shared" si="215"/>
        <v>50.4</v>
      </c>
      <c r="AV111" s="6">
        <f t="shared" si="215"/>
        <v>0</v>
      </c>
      <c r="AW111" s="6">
        <f t="shared" si="215"/>
        <v>50.4</v>
      </c>
      <c r="AX111" s="193">
        <f t="shared" si="197"/>
        <v>-0.39999999999999858</v>
      </c>
      <c r="AY111" s="327"/>
      <c r="AZ111" s="8">
        <v>56</v>
      </c>
      <c r="BA111" s="7">
        <v>0</v>
      </c>
      <c r="BB111" s="7">
        <f t="shared" si="216"/>
        <v>56</v>
      </c>
      <c r="BC111" s="6">
        <v>6</v>
      </c>
      <c r="BD111" s="6"/>
      <c r="BE111" s="6">
        <f t="shared" si="198"/>
        <v>6</v>
      </c>
      <c r="BF111" s="7">
        <f t="shared" si="192"/>
        <v>50</v>
      </c>
      <c r="BG111" s="6">
        <f t="shared" si="192"/>
        <v>0</v>
      </c>
      <c r="BH111" s="6">
        <f t="shared" si="192"/>
        <v>50</v>
      </c>
      <c r="BI111" s="322"/>
      <c r="BJ111" s="206">
        <v>75</v>
      </c>
      <c r="BK111" s="164">
        <v>0</v>
      </c>
      <c r="BL111" s="164">
        <f t="shared" si="217"/>
        <v>75</v>
      </c>
      <c r="BM111" s="165">
        <v>8</v>
      </c>
      <c r="BN111" s="165"/>
      <c r="BO111" s="165">
        <f t="shared" si="218"/>
        <v>8</v>
      </c>
      <c r="BP111" s="6">
        <f t="shared" si="149"/>
        <v>83</v>
      </c>
      <c r="BQ111" s="6">
        <f t="shared" si="149"/>
        <v>0</v>
      </c>
      <c r="BR111" s="6">
        <f t="shared" si="149"/>
        <v>83</v>
      </c>
      <c r="BS111" s="166"/>
      <c r="BT111" s="2"/>
      <c r="BU111" s="2"/>
    </row>
    <row r="112" spans="1:73" s="5" customFormat="1" ht="25.5" x14ac:dyDescent="0.25">
      <c r="A112" s="79"/>
      <c r="B112" s="80" t="s">
        <v>117</v>
      </c>
      <c r="C112" s="81"/>
      <c r="D112" s="82">
        <f t="shared" ref="D112:L112" si="219">SUM(D106:D111)</f>
        <v>5834</v>
      </c>
      <c r="E112" s="15">
        <f t="shared" si="219"/>
        <v>0</v>
      </c>
      <c r="F112" s="14">
        <f t="shared" si="219"/>
        <v>5834</v>
      </c>
      <c r="G112" s="14">
        <f t="shared" si="219"/>
        <v>583.4</v>
      </c>
      <c r="H112" s="14">
        <f t="shared" si="219"/>
        <v>0</v>
      </c>
      <c r="I112" s="14">
        <f t="shared" si="219"/>
        <v>583.4</v>
      </c>
      <c r="J112" s="14">
        <f t="shared" si="219"/>
        <v>5250.5999999999995</v>
      </c>
      <c r="K112" s="14">
        <f t="shared" si="219"/>
        <v>0</v>
      </c>
      <c r="L112" s="14">
        <f t="shared" si="219"/>
        <v>5250.5999999999995</v>
      </c>
      <c r="M112" s="130"/>
      <c r="N112" s="16">
        <f t="shared" ref="N112:AA112" si="220">SUM(N106:N111)</f>
        <v>5834</v>
      </c>
      <c r="O112" s="15">
        <f t="shared" si="220"/>
        <v>0</v>
      </c>
      <c r="P112" s="14">
        <f t="shared" si="220"/>
        <v>5834</v>
      </c>
      <c r="Q112" s="14">
        <f t="shared" si="220"/>
        <v>583.4</v>
      </c>
      <c r="R112" s="14">
        <f t="shared" si="220"/>
        <v>0</v>
      </c>
      <c r="S112" s="14">
        <f t="shared" si="220"/>
        <v>583.4</v>
      </c>
      <c r="T112" s="14">
        <f t="shared" si="220"/>
        <v>5250.5999999999995</v>
      </c>
      <c r="U112" s="14">
        <f t="shared" si="220"/>
        <v>0</v>
      </c>
      <c r="V112" s="14">
        <f t="shared" si="220"/>
        <v>5250.5999999999995</v>
      </c>
      <c r="W112" s="167">
        <f t="shared" si="220"/>
        <v>0</v>
      </c>
      <c r="X112" s="16">
        <f t="shared" si="220"/>
        <v>5250.5999999999995</v>
      </c>
      <c r="Y112" s="15">
        <f t="shared" si="220"/>
        <v>0</v>
      </c>
      <c r="Z112" s="15">
        <f t="shared" si="220"/>
        <v>5250.5999999999995</v>
      </c>
      <c r="AA112" s="26">
        <f t="shared" si="220"/>
        <v>0</v>
      </c>
      <c r="AB112" s="83"/>
      <c r="AC112" s="16">
        <f t="shared" ref="AC112:AM112" si="221">SUM(AC106:AC111)</f>
        <v>5835</v>
      </c>
      <c r="AD112" s="15">
        <f t="shared" si="221"/>
        <v>0</v>
      </c>
      <c r="AE112" s="14">
        <f t="shared" si="221"/>
        <v>5835</v>
      </c>
      <c r="AF112" s="168">
        <f t="shared" si="221"/>
        <v>0</v>
      </c>
      <c r="AG112" s="26">
        <f t="shared" si="221"/>
        <v>584</v>
      </c>
      <c r="AH112" s="14">
        <f t="shared" si="221"/>
        <v>0</v>
      </c>
      <c r="AI112" s="14">
        <f t="shared" si="221"/>
        <v>584</v>
      </c>
      <c r="AJ112" s="14">
        <f t="shared" si="221"/>
        <v>5251</v>
      </c>
      <c r="AK112" s="14">
        <f t="shared" si="221"/>
        <v>0</v>
      </c>
      <c r="AL112" s="14">
        <f t="shared" si="221"/>
        <v>5251</v>
      </c>
      <c r="AM112" s="212">
        <f t="shared" si="221"/>
        <v>-0.40000000000012648</v>
      </c>
      <c r="AN112" s="83"/>
      <c r="AO112" s="16">
        <f t="shared" ref="AO112:AT112" si="222">SUM(AO106:AO111)</f>
        <v>5835</v>
      </c>
      <c r="AP112" s="15">
        <f t="shared" si="222"/>
        <v>0</v>
      </c>
      <c r="AQ112" s="15">
        <f t="shared" si="222"/>
        <v>5835</v>
      </c>
      <c r="AR112" s="14">
        <f t="shared" si="222"/>
        <v>583.5</v>
      </c>
      <c r="AS112" s="14">
        <f t="shared" si="222"/>
        <v>0</v>
      </c>
      <c r="AT112" s="14">
        <f t="shared" si="222"/>
        <v>583.5</v>
      </c>
      <c r="AU112" s="94">
        <f>SUM(AU106:AU111)-1</f>
        <v>5250.5</v>
      </c>
      <c r="AV112" s="14">
        <f>SUM(AV106:AV111)</f>
        <v>0</v>
      </c>
      <c r="AW112" s="14">
        <f>SUM(AW106:AW111)-1</f>
        <v>5250.5</v>
      </c>
      <c r="AX112" s="14">
        <f>SUM(AX106:AX111)</f>
        <v>-0.49999999999996447</v>
      </c>
      <c r="AY112" s="169"/>
      <c r="AZ112" s="16">
        <f t="shared" ref="AZ112:BE112" si="223">SUM(AZ106:AZ111)</f>
        <v>5834</v>
      </c>
      <c r="BA112" s="15">
        <f t="shared" si="223"/>
        <v>0</v>
      </c>
      <c r="BB112" s="15">
        <f t="shared" si="223"/>
        <v>5834</v>
      </c>
      <c r="BC112" s="14">
        <f t="shared" si="223"/>
        <v>583</v>
      </c>
      <c r="BD112" s="14">
        <f t="shared" si="223"/>
        <v>0</v>
      </c>
      <c r="BE112" s="14">
        <f t="shared" si="223"/>
        <v>583</v>
      </c>
      <c r="BF112" s="15">
        <f t="shared" si="192"/>
        <v>5251</v>
      </c>
      <c r="BG112" s="14">
        <f t="shared" si="192"/>
        <v>0</v>
      </c>
      <c r="BH112" s="14">
        <f t="shared" si="192"/>
        <v>5251</v>
      </c>
      <c r="BI112" s="170"/>
      <c r="BJ112" s="171">
        <f t="shared" ref="BJ112:BO112" si="224">SUM(BJ106:BJ111)</f>
        <v>4603</v>
      </c>
      <c r="BK112" s="172">
        <f t="shared" si="224"/>
        <v>0</v>
      </c>
      <c r="BL112" s="172">
        <f t="shared" si="224"/>
        <v>4603</v>
      </c>
      <c r="BM112" s="173">
        <f t="shared" si="224"/>
        <v>511</v>
      </c>
      <c r="BN112" s="173">
        <f t="shared" si="224"/>
        <v>0</v>
      </c>
      <c r="BO112" s="173">
        <f t="shared" si="224"/>
        <v>511</v>
      </c>
      <c r="BP112" s="14">
        <f t="shared" si="149"/>
        <v>5114</v>
      </c>
      <c r="BQ112" s="14">
        <f t="shared" si="149"/>
        <v>0</v>
      </c>
      <c r="BR112" s="14">
        <f t="shared" si="149"/>
        <v>5114</v>
      </c>
      <c r="BS112" s="174"/>
      <c r="BT112" s="2"/>
      <c r="BU112" s="2"/>
    </row>
    <row r="113" spans="1:73" ht="35.1" customHeight="1" x14ac:dyDescent="0.25">
      <c r="A113" s="11" t="s">
        <v>209</v>
      </c>
      <c r="B113" s="12" t="s">
        <v>336</v>
      </c>
      <c r="C113" s="70" t="s">
        <v>31</v>
      </c>
      <c r="D113" s="71">
        <v>422</v>
      </c>
      <c r="E113" s="7">
        <v>0</v>
      </c>
      <c r="F113" s="7">
        <f>SUM(D113:E113)</f>
        <v>422</v>
      </c>
      <c r="G113" s="6">
        <f>D113*10%</f>
        <v>42.2</v>
      </c>
      <c r="H113" s="6">
        <f>E113*5%</f>
        <v>0</v>
      </c>
      <c r="I113" s="6">
        <f>SUM(G113:H113)</f>
        <v>42.2</v>
      </c>
      <c r="J113" s="7">
        <f t="shared" ref="J113:L116" si="225">D113-G113</f>
        <v>379.8</v>
      </c>
      <c r="K113" s="6">
        <f t="shared" si="225"/>
        <v>0</v>
      </c>
      <c r="L113" s="6">
        <f t="shared" si="225"/>
        <v>379.8</v>
      </c>
      <c r="M113" s="126"/>
      <c r="N113" s="8">
        <v>422</v>
      </c>
      <c r="O113" s="7">
        <v>0</v>
      </c>
      <c r="P113" s="7">
        <f>SUM(N113:O113)</f>
        <v>422</v>
      </c>
      <c r="Q113" s="6">
        <f>N113*10%</f>
        <v>42.2</v>
      </c>
      <c r="R113" s="6">
        <f>O113*5%</f>
        <v>0</v>
      </c>
      <c r="S113" s="6">
        <f>SUM(Q113:R113)</f>
        <v>42.2</v>
      </c>
      <c r="T113" s="7">
        <f>N113-Q113</f>
        <v>379.8</v>
      </c>
      <c r="U113" s="6">
        <f>O113-R113</f>
        <v>0</v>
      </c>
      <c r="V113" s="6">
        <f>P113-S113</f>
        <v>379.8</v>
      </c>
      <c r="W113" s="160"/>
      <c r="X113" s="8">
        <f>T113</f>
        <v>379.8</v>
      </c>
      <c r="Y113" s="7">
        <f>U113-W113</f>
        <v>0</v>
      </c>
      <c r="Z113" s="7">
        <f>X113+Y113</f>
        <v>379.8</v>
      </c>
      <c r="AA113" s="7">
        <f>L113-Z113</f>
        <v>0</v>
      </c>
      <c r="AB113" s="96"/>
      <c r="AC113" s="8">
        <v>422</v>
      </c>
      <c r="AD113" s="7">
        <v>0</v>
      </c>
      <c r="AE113" s="6">
        <f>SUM(AC113:AD113)</f>
        <v>422</v>
      </c>
      <c r="AF113" s="161"/>
      <c r="AG113" s="22">
        <v>42</v>
      </c>
      <c r="AH113" s="6">
        <f>AD113*5%</f>
        <v>0</v>
      </c>
      <c r="AI113" s="6">
        <f>SUM(AG113:AH113)</f>
        <v>42</v>
      </c>
      <c r="AJ113" s="7">
        <f>AC113-AG113</f>
        <v>380</v>
      </c>
      <c r="AK113" s="6">
        <f>AD113-AH113</f>
        <v>0</v>
      </c>
      <c r="AL113" s="7">
        <f>AE113-AI113</f>
        <v>380</v>
      </c>
      <c r="AM113" s="193">
        <f>V113-AL113</f>
        <v>-0.19999999999998863</v>
      </c>
      <c r="AN113" s="72"/>
      <c r="AO113" s="8">
        <v>422</v>
      </c>
      <c r="AP113" s="7">
        <v>0</v>
      </c>
      <c r="AQ113" s="7">
        <f>SUM(AO113:AP113)</f>
        <v>422</v>
      </c>
      <c r="AR113" s="6">
        <f>AO113*10%</f>
        <v>42.2</v>
      </c>
      <c r="AS113" s="6">
        <f>AP113*5%</f>
        <v>0</v>
      </c>
      <c r="AT113" s="6">
        <f>SUM(AR113:AS113)</f>
        <v>42.2</v>
      </c>
      <c r="AU113" s="71">
        <f>AO113-AR113</f>
        <v>379.8</v>
      </c>
      <c r="AV113" s="6">
        <f>AP113-AS113</f>
        <v>0</v>
      </c>
      <c r="AW113" s="6">
        <f>AQ113-AT113</f>
        <v>379.8</v>
      </c>
      <c r="AX113" s="193">
        <f>AL113-AW113</f>
        <v>0.19999999999998863</v>
      </c>
      <c r="AY113" s="73"/>
      <c r="AZ113" s="8">
        <v>422</v>
      </c>
      <c r="BA113" s="7">
        <v>0</v>
      </c>
      <c r="BB113" s="7">
        <f>SUM(AZ113:BA113)</f>
        <v>422</v>
      </c>
      <c r="BC113" s="6">
        <v>42</v>
      </c>
      <c r="BD113" s="6">
        <v>0</v>
      </c>
      <c r="BE113" s="6">
        <f>SUM(BC113:BD113)</f>
        <v>42</v>
      </c>
      <c r="BF113" s="7">
        <f t="shared" si="192"/>
        <v>380</v>
      </c>
      <c r="BG113" s="6">
        <f t="shared" si="192"/>
        <v>0</v>
      </c>
      <c r="BH113" s="6">
        <f t="shared" si="192"/>
        <v>380</v>
      </c>
      <c r="BI113" s="162"/>
      <c r="BJ113" s="163">
        <v>380</v>
      </c>
      <c r="BK113" s="164">
        <v>0</v>
      </c>
      <c r="BL113" s="164">
        <f>SUM(BJ113:BK113)</f>
        <v>380</v>
      </c>
      <c r="BM113" s="165">
        <v>42</v>
      </c>
      <c r="BN113" s="165">
        <v>0</v>
      </c>
      <c r="BO113" s="165">
        <f>SUM(BM113:BN113)</f>
        <v>42</v>
      </c>
      <c r="BP113" s="6">
        <f t="shared" si="149"/>
        <v>422</v>
      </c>
      <c r="BQ113" s="6">
        <f t="shared" si="149"/>
        <v>0</v>
      </c>
      <c r="BR113" s="6">
        <f t="shared" si="149"/>
        <v>422</v>
      </c>
      <c r="BS113" s="166"/>
      <c r="BT113" s="2"/>
      <c r="BU113" s="2"/>
    </row>
    <row r="114" spans="1:73" ht="51" x14ac:dyDescent="0.25">
      <c r="A114" s="10" t="s">
        <v>32</v>
      </c>
      <c r="B114" s="9" t="s">
        <v>33</v>
      </c>
      <c r="C114" s="74" t="s">
        <v>31</v>
      </c>
      <c r="D114" s="71">
        <v>762</v>
      </c>
      <c r="E114" s="7">
        <v>1315</v>
      </c>
      <c r="F114" s="7">
        <f>SUM(D114:E114)</f>
        <v>2077</v>
      </c>
      <c r="G114" s="6">
        <f>D114*10%</f>
        <v>76.2</v>
      </c>
      <c r="H114" s="6">
        <f>E114*5%</f>
        <v>65.75</v>
      </c>
      <c r="I114" s="6">
        <f>SUM(G114:H114)</f>
        <v>141.94999999999999</v>
      </c>
      <c r="J114" s="7">
        <f t="shared" si="225"/>
        <v>685.8</v>
      </c>
      <c r="K114" s="6">
        <f>E114-H114</f>
        <v>1249.25</v>
      </c>
      <c r="L114" s="6">
        <f t="shared" si="225"/>
        <v>1935.05</v>
      </c>
      <c r="M114" s="131"/>
      <c r="N114" s="8">
        <v>450</v>
      </c>
      <c r="O114" s="7">
        <v>2009</v>
      </c>
      <c r="P114" s="7">
        <f>SUM(N114:O114)</f>
        <v>2459</v>
      </c>
      <c r="Q114" s="6">
        <f>N114*10%</f>
        <v>45</v>
      </c>
      <c r="R114" s="6">
        <f>O114*5%</f>
        <v>100.45</v>
      </c>
      <c r="S114" s="6">
        <f>SUM(Q114:R114)</f>
        <v>145.44999999999999</v>
      </c>
      <c r="T114" s="7">
        <f t="shared" ref="T114:V116" si="226">N114-Q114</f>
        <v>405</v>
      </c>
      <c r="U114" s="6">
        <f t="shared" si="226"/>
        <v>1908.55</v>
      </c>
      <c r="V114" s="6">
        <f t="shared" si="226"/>
        <v>2313.5500000000002</v>
      </c>
      <c r="W114" s="160">
        <v>77</v>
      </c>
      <c r="X114" s="8">
        <f>T114</f>
        <v>405</v>
      </c>
      <c r="Y114" s="7">
        <f>U114-W114</f>
        <v>1831.55</v>
      </c>
      <c r="Z114" s="7">
        <f t="shared" ref="Z114:Z118" si="227">X114+Y114</f>
        <v>2236.5500000000002</v>
      </c>
      <c r="AA114" s="7">
        <f>L114-Z114</f>
        <v>-301.50000000000023</v>
      </c>
      <c r="AB114" s="96"/>
      <c r="AC114" s="8">
        <v>726</v>
      </c>
      <c r="AD114" s="7">
        <v>884</v>
      </c>
      <c r="AE114" s="6">
        <f>SUM(AC114:AD114)</f>
        <v>1610</v>
      </c>
      <c r="AF114" s="161">
        <v>69</v>
      </c>
      <c r="AG114" s="22">
        <v>73</v>
      </c>
      <c r="AH114" s="6">
        <v>41</v>
      </c>
      <c r="AI114" s="6">
        <f>SUM(AG114:AH114)</f>
        <v>114</v>
      </c>
      <c r="AJ114" s="7">
        <f t="shared" ref="AJ114:AL116" si="228">AC114-AG114</f>
        <v>653</v>
      </c>
      <c r="AK114" s="6">
        <f>AD114-AH114-AF114</f>
        <v>774</v>
      </c>
      <c r="AL114" s="7">
        <f>AE114-AI114-AF114</f>
        <v>1427</v>
      </c>
      <c r="AM114" s="6">
        <f>V114-AL114</f>
        <v>886.55000000000018</v>
      </c>
      <c r="AN114" s="72"/>
      <c r="AO114" s="8">
        <v>726</v>
      </c>
      <c r="AP114" s="7">
        <v>884</v>
      </c>
      <c r="AQ114" s="7">
        <f>SUM(AO114:AP114)</f>
        <v>1610</v>
      </c>
      <c r="AR114" s="6">
        <f>AO114*10%</f>
        <v>72.600000000000009</v>
      </c>
      <c r="AS114" s="6">
        <f>AP114*5%</f>
        <v>44.2</v>
      </c>
      <c r="AT114" s="6">
        <f>SUM(AR114:AS114)</f>
        <v>116.80000000000001</v>
      </c>
      <c r="AU114" s="71">
        <f t="shared" ref="AU114:AW116" si="229">AO114-AR114</f>
        <v>653.4</v>
      </c>
      <c r="AV114" s="6">
        <f t="shared" si="229"/>
        <v>839.8</v>
      </c>
      <c r="AW114" s="6">
        <f t="shared" si="229"/>
        <v>1493.2</v>
      </c>
      <c r="AX114" s="193">
        <f>AL114-AW114</f>
        <v>-66.200000000000045</v>
      </c>
      <c r="AY114" s="328" t="s">
        <v>325</v>
      </c>
      <c r="AZ114" s="8">
        <v>450</v>
      </c>
      <c r="BA114" s="7">
        <v>1145</v>
      </c>
      <c r="BB114" s="7">
        <f>SUM(AZ114:BA114)</f>
        <v>1595</v>
      </c>
      <c r="BC114" s="6">
        <v>45</v>
      </c>
      <c r="BD114" s="6">
        <v>57</v>
      </c>
      <c r="BE114" s="6">
        <f>SUM(BC114:BD114)</f>
        <v>102</v>
      </c>
      <c r="BF114" s="7">
        <f t="shared" si="192"/>
        <v>405</v>
      </c>
      <c r="BG114" s="6">
        <f t="shared" si="192"/>
        <v>1088</v>
      </c>
      <c r="BH114" s="6">
        <f t="shared" si="192"/>
        <v>1493</v>
      </c>
      <c r="BI114" s="162"/>
      <c r="BJ114" s="163">
        <v>405</v>
      </c>
      <c r="BK114" s="164">
        <v>1088</v>
      </c>
      <c r="BL114" s="164">
        <f>SUM(BJ114:BK114)</f>
        <v>1493</v>
      </c>
      <c r="BM114" s="165">
        <v>45</v>
      </c>
      <c r="BN114" s="165">
        <v>57</v>
      </c>
      <c r="BO114" s="165">
        <f>SUM(BM114:BN114)</f>
        <v>102</v>
      </c>
      <c r="BP114" s="6">
        <f t="shared" si="149"/>
        <v>450</v>
      </c>
      <c r="BQ114" s="6">
        <f t="shared" si="149"/>
        <v>1145</v>
      </c>
      <c r="BR114" s="6">
        <f t="shared" si="149"/>
        <v>1595</v>
      </c>
      <c r="BS114" s="166"/>
      <c r="BT114" s="2"/>
      <c r="BU114" s="2"/>
    </row>
    <row r="115" spans="1:73" ht="53.25" customHeight="1" x14ac:dyDescent="0.25">
      <c r="A115" s="10" t="s">
        <v>34</v>
      </c>
      <c r="B115" s="9" t="s">
        <v>35</v>
      </c>
      <c r="C115" s="74" t="s">
        <v>31</v>
      </c>
      <c r="D115" s="71">
        <v>400</v>
      </c>
      <c r="E115" s="7">
        <v>345</v>
      </c>
      <c r="F115" s="7">
        <f>SUM(D115:E115)</f>
        <v>745</v>
      </c>
      <c r="G115" s="6">
        <f>D115*10%</f>
        <v>40</v>
      </c>
      <c r="H115" s="6">
        <f>E115*5%</f>
        <v>17.25</v>
      </c>
      <c r="I115" s="6">
        <f>SUM(G115:H115)-1</f>
        <v>56.25</v>
      </c>
      <c r="J115" s="7">
        <f t="shared" si="225"/>
        <v>360</v>
      </c>
      <c r="K115" s="6">
        <f>E115-H115</f>
        <v>327.75</v>
      </c>
      <c r="L115" s="6">
        <f>F115-I115-1</f>
        <v>687.75</v>
      </c>
      <c r="M115" s="127"/>
      <c r="N115" s="8">
        <v>411</v>
      </c>
      <c r="O115" s="7">
        <v>0</v>
      </c>
      <c r="P115" s="7">
        <f>SUM(N115:O115)</f>
        <v>411</v>
      </c>
      <c r="Q115" s="6">
        <f>N115*10%</f>
        <v>41.1</v>
      </c>
      <c r="R115" s="6">
        <f>O115*5%</f>
        <v>0</v>
      </c>
      <c r="S115" s="6">
        <f>SUM(Q115:R115)</f>
        <v>41.1</v>
      </c>
      <c r="T115" s="7">
        <f t="shared" si="226"/>
        <v>369.9</v>
      </c>
      <c r="U115" s="6">
        <f t="shared" si="226"/>
        <v>0</v>
      </c>
      <c r="V115" s="6">
        <f t="shared" si="226"/>
        <v>369.9</v>
      </c>
      <c r="W115" s="160"/>
      <c r="X115" s="8">
        <f>T115</f>
        <v>369.9</v>
      </c>
      <c r="Y115" s="7">
        <f>U115-W115</f>
        <v>0</v>
      </c>
      <c r="Z115" s="7">
        <f t="shared" si="227"/>
        <v>369.9</v>
      </c>
      <c r="AA115" s="7">
        <f>L115-Z115</f>
        <v>317.85000000000002</v>
      </c>
      <c r="AB115" s="96"/>
      <c r="AC115" s="8">
        <v>444</v>
      </c>
      <c r="AD115" s="7">
        <v>363</v>
      </c>
      <c r="AE115" s="6">
        <f>SUM(AC115:AD115)</f>
        <v>807</v>
      </c>
      <c r="AF115" s="161">
        <v>28</v>
      </c>
      <c r="AG115" s="22">
        <v>44</v>
      </c>
      <c r="AH115" s="6">
        <v>17</v>
      </c>
      <c r="AI115" s="6">
        <f>SUM(AG115:AH115)</f>
        <v>61</v>
      </c>
      <c r="AJ115" s="7">
        <f t="shared" si="228"/>
        <v>400</v>
      </c>
      <c r="AK115" s="6">
        <f>AD115-AH115-AF115</f>
        <v>318</v>
      </c>
      <c r="AL115" s="7">
        <f>AE115-AI115-AF115</f>
        <v>718</v>
      </c>
      <c r="AM115" s="6">
        <f>V115-AL115</f>
        <v>-348.1</v>
      </c>
      <c r="AN115" s="72"/>
      <c r="AO115" s="8">
        <v>444</v>
      </c>
      <c r="AP115" s="7">
        <v>363</v>
      </c>
      <c r="AQ115" s="7">
        <f>SUM(AO115:AP115)</f>
        <v>807</v>
      </c>
      <c r="AR115" s="6">
        <f>AO115*10%</f>
        <v>44.400000000000006</v>
      </c>
      <c r="AS115" s="6">
        <f>AP115*5%</f>
        <v>18.150000000000002</v>
      </c>
      <c r="AT115" s="17">
        <v>62</v>
      </c>
      <c r="AU115" s="71">
        <f t="shared" si="229"/>
        <v>399.6</v>
      </c>
      <c r="AV115" s="6">
        <f t="shared" si="229"/>
        <v>344.85</v>
      </c>
      <c r="AW115" s="6">
        <f t="shared" si="229"/>
        <v>745</v>
      </c>
      <c r="AX115" s="193">
        <f>AL115-AW115</f>
        <v>-27</v>
      </c>
      <c r="AY115" s="329"/>
      <c r="AZ115" s="8">
        <v>828</v>
      </c>
      <c r="BA115" s="7">
        <v>0</v>
      </c>
      <c r="BB115" s="7">
        <f>SUM(AZ115:BA115)</f>
        <v>828</v>
      </c>
      <c r="BC115" s="6">
        <v>83</v>
      </c>
      <c r="BD115" s="6">
        <v>0</v>
      </c>
      <c r="BE115" s="6">
        <f>SUM(BC115:BD115)</f>
        <v>83</v>
      </c>
      <c r="BF115" s="7">
        <f t="shared" si="192"/>
        <v>745</v>
      </c>
      <c r="BG115" s="6">
        <f t="shared" si="192"/>
        <v>0</v>
      </c>
      <c r="BH115" s="6">
        <f t="shared" si="192"/>
        <v>745</v>
      </c>
      <c r="BI115" s="162"/>
      <c r="BJ115" s="163">
        <v>745</v>
      </c>
      <c r="BK115" s="164">
        <v>0</v>
      </c>
      <c r="BL115" s="164">
        <f>SUM(BJ115:BK115)</f>
        <v>745</v>
      </c>
      <c r="BM115" s="165">
        <v>83</v>
      </c>
      <c r="BN115" s="165">
        <v>0</v>
      </c>
      <c r="BO115" s="165">
        <f>SUM(BM115:BN115)</f>
        <v>83</v>
      </c>
      <c r="BP115" s="6">
        <f t="shared" si="149"/>
        <v>828</v>
      </c>
      <c r="BQ115" s="6">
        <f t="shared" si="149"/>
        <v>0</v>
      </c>
      <c r="BR115" s="6">
        <f t="shared" si="149"/>
        <v>828</v>
      </c>
      <c r="BS115" s="166"/>
      <c r="BT115" s="2"/>
      <c r="BU115" s="2"/>
    </row>
    <row r="116" spans="1:73" ht="63" customHeight="1" x14ac:dyDescent="0.25">
      <c r="A116" s="10" t="s">
        <v>36</v>
      </c>
      <c r="B116" s="98" t="s">
        <v>37</v>
      </c>
      <c r="C116" s="74" t="s">
        <v>31</v>
      </c>
      <c r="D116" s="71">
        <v>300</v>
      </c>
      <c r="E116" s="7">
        <v>0</v>
      </c>
      <c r="F116" s="7">
        <f>SUM(D116:E116)</f>
        <v>300</v>
      </c>
      <c r="G116" s="6">
        <f>D116*10%</f>
        <v>30</v>
      </c>
      <c r="H116" s="6">
        <f>E116*5%</f>
        <v>0</v>
      </c>
      <c r="I116" s="6">
        <f>SUM(G116:H116)</f>
        <v>30</v>
      </c>
      <c r="J116" s="7">
        <f t="shared" si="225"/>
        <v>270</v>
      </c>
      <c r="K116" s="6">
        <f t="shared" si="225"/>
        <v>0</v>
      </c>
      <c r="L116" s="6">
        <f t="shared" si="225"/>
        <v>270</v>
      </c>
      <c r="M116" s="126"/>
      <c r="N116" s="8">
        <v>333</v>
      </c>
      <c r="O116" s="7">
        <v>0</v>
      </c>
      <c r="P116" s="7">
        <f>SUM(N116:O116)</f>
        <v>333</v>
      </c>
      <c r="Q116" s="6">
        <f>N116*10%</f>
        <v>33.300000000000004</v>
      </c>
      <c r="R116" s="6">
        <f>O116*5%</f>
        <v>0</v>
      </c>
      <c r="S116" s="6">
        <f>SUM(Q116:R116)</f>
        <v>33.300000000000004</v>
      </c>
      <c r="T116" s="7">
        <f t="shared" si="226"/>
        <v>299.7</v>
      </c>
      <c r="U116" s="6">
        <f t="shared" si="226"/>
        <v>0</v>
      </c>
      <c r="V116" s="6">
        <f t="shared" si="226"/>
        <v>299.7</v>
      </c>
      <c r="W116" s="160"/>
      <c r="X116" s="8">
        <f>T116</f>
        <v>299.7</v>
      </c>
      <c r="Y116" s="7">
        <f>U116-W116</f>
        <v>0</v>
      </c>
      <c r="Z116" s="7">
        <f t="shared" si="227"/>
        <v>299.7</v>
      </c>
      <c r="AA116" s="7">
        <f>L116-Z116</f>
        <v>-29.699999999999989</v>
      </c>
      <c r="AB116" s="96"/>
      <c r="AC116" s="8">
        <v>829</v>
      </c>
      <c r="AD116" s="7">
        <v>0</v>
      </c>
      <c r="AE116" s="6">
        <f>SUM(AC116:AD116)</f>
        <v>829</v>
      </c>
      <c r="AF116" s="161"/>
      <c r="AG116" s="22">
        <v>83</v>
      </c>
      <c r="AH116" s="6">
        <f>AD116*5%</f>
        <v>0</v>
      </c>
      <c r="AI116" s="6">
        <f>SUM(AG116:AH116)</f>
        <v>83</v>
      </c>
      <c r="AJ116" s="7">
        <f t="shared" si="228"/>
        <v>746</v>
      </c>
      <c r="AK116" s="6">
        <f t="shared" si="228"/>
        <v>0</v>
      </c>
      <c r="AL116" s="7">
        <f t="shared" si="228"/>
        <v>746</v>
      </c>
      <c r="AM116" s="6">
        <f>V116-AL116</f>
        <v>-446.3</v>
      </c>
      <c r="AN116" s="72"/>
      <c r="AO116" s="8">
        <v>829</v>
      </c>
      <c r="AP116" s="7">
        <v>0</v>
      </c>
      <c r="AQ116" s="7">
        <f>SUM(AO116:AP116)</f>
        <v>829</v>
      </c>
      <c r="AR116" s="6">
        <f>AO116*10%</f>
        <v>82.9</v>
      </c>
      <c r="AS116" s="6">
        <f>AP116*5%</f>
        <v>0</v>
      </c>
      <c r="AT116" s="6">
        <f>SUM(AR116:AS116)</f>
        <v>82.9</v>
      </c>
      <c r="AU116" s="71">
        <f t="shared" si="229"/>
        <v>746.1</v>
      </c>
      <c r="AV116" s="6">
        <f t="shared" si="229"/>
        <v>0</v>
      </c>
      <c r="AW116" s="6">
        <f t="shared" si="229"/>
        <v>746.1</v>
      </c>
      <c r="AX116" s="193">
        <f>AL116-AW116</f>
        <v>-0.10000000000002274</v>
      </c>
      <c r="AY116" s="330"/>
      <c r="AZ116" s="8">
        <v>745</v>
      </c>
      <c r="BA116" s="7">
        <v>79</v>
      </c>
      <c r="BB116" s="7">
        <f>SUM(AZ116:BA116)</f>
        <v>824</v>
      </c>
      <c r="BC116" s="6">
        <v>74</v>
      </c>
      <c r="BD116" s="6">
        <v>4</v>
      </c>
      <c r="BE116" s="6">
        <f>SUM(BC116:BD116)</f>
        <v>78</v>
      </c>
      <c r="BF116" s="7">
        <f t="shared" si="192"/>
        <v>671</v>
      </c>
      <c r="BG116" s="6">
        <f t="shared" si="192"/>
        <v>75</v>
      </c>
      <c r="BH116" s="6">
        <f t="shared" si="192"/>
        <v>746</v>
      </c>
      <c r="BI116" s="162"/>
      <c r="BJ116" s="163">
        <v>671</v>
      </c>
      <c r="BK116" s="164">
        <v>75</v>
      </c>
      <c r="BL116" s="164">
        <f>SUM(BJ116:BK116)</f>
        <v>746</v>
      </c>
      <c r="BM116" s="165">
        <v>74</v>
      </c>
      <c r="BN116" s="165">
        <v>4</v>
      </c>
      <c r="BO116" s="165">
        <f>SUM(BM116:BN116)</f>
        <v>78</v>
      </c>
      <c r="BP116" s="6">
        <f t="shared" si="149"/>
        <v>745</v>
      </c>
      <c r="BQ116" s="6">
        <f t="shared" si="149"/>
        <v>79</v>
      </c>
      <c r="BR116" s="6">
        <f t="shared" si="149"/>
        <v>824</v>
      </c>
      <c r="BS116" s="166"/>
      <c r="BT116" s="2"/>
      <c r="BU116" s="2"/>
    </row>
    <row r="117" spans="1:73" s="5" customFormat="1" ht="35.1" customHeight="1" x14ac:dyDescent="0.25">
      <c r="A117" s="79"/>
      <c r="B117" s="80" t="s">
        <v>337</v>
      </c>
      <c r="C117" s="81"/>
      <c r="D117" s="82">
        <f t="shared" ref="D117:L117" si="230">SUM(D113:D116)</f>
        <v>1884</v>
      </c>
      <c r="E117" s="16">
        <f t="shared" si="230"/>
        <v>1660</v>
      </c>
      <c r="F117" s="26">
        <f t="shared" si="230"/>
        <v>3544</v>
      </c>
      <c r="G117" s="14">
        <f t="shared" si="230"/>
        <v>188.4</v>
      </c>
      <c r="H117" s="14">
        <f t="shared" si="230"/>
        <v>83</v>
      </c>
      <c r="I117" s="15">
        <f t="shared" si="230"/>
        <v>270.39999999999998</v>
      </c>
      <c r="J117" s="15">
        <f t="shared" si="230"/>
        <v>1695.6</v>
      </c>
      <c r="K117" s="15">
        <f t="shared" si="230"/>
        <v>1577</v>
      </c>
      <c r="L117" s="14">
        <f t="shared" si="230"/>
        <v>3272.6</v>
      </c>
      <c r="M117" s="130"/>
      <c r="N117" s="16">
        <f>SUM(N113:N116)</f>
        <v>1616</v>
      </c>
      <c r="O117" s="16">
        <f>SUM(O113:O116)</f>
        <v>2009</v>
      </c>
      <c r="P117" s="26">
        <f>SUM(P113:P116)</f>
        <v>3625</v>
      </c>
      <c r="Q117" s="14">
        <f>SUM(Q113:Q116)-1</f>
        <v>160.60000000000002</v>
      </c>
      <c r="R117" s="14">
        <f>SUM(R113:R116)</f>
        <v>100.45</v>
      </c>
      <c r="S117" s="15">
        <f>SUM(S113:S116)-1</f>
        <v>261.04999999999995</v>
      </c>
      <c r="T117" s="15">
        <f>SUM(T113:T116)+1</f>
        <v>1455.3999999999999</v>
      </c>
      <c r="U117" s="15">
        <f>SUM(U113:U116)</f>
        <v>1908.55</v>
      </c>
      <c r="V117" s="14">
        <f>SUM(V113:V116)+1</f>
        <v>3363.9500000000003</v>
      </c>
      <c r="W117" s="167">
        <f>SUM(W113:W116)</f>
        <v>77</v>
      </c>
      <c r="X117" s="16">
        <f>SUM(X113:X116)+1</f>
        <v>1455.3999999999999</v>
      </c>
      <c r="Y117" s="15">
        <f>SUM(Y113:Y116)</f>
        <v>1831.55</v>
      </c>
      <c r="Z117" s="15">
        <f t="shared" si="227"/>
        <v>3286.95</v>
      </c>
      <c r="AA117" s="26">
        <f>SUM(AA113:AA116)</f>
        <v>-13.350000000000193</v>
      </c>
      <c r="AB117" s="83"/>
      <c r="AC117" s="16">
        <f t="shared" ref="AC117:AL117" si="231">SUM(AC113:AC116)</f>
        <v>2421</v>
      </c>
      <c r="AD117" s="16">
        <f t="shared" si="231"/>
        <v>1247</v>
      </c>
      <c r="AE117" s="26">
        <f t="shared" si="231"/>
        <v>3668</v>
      </c>
      <c r="AF117" s="168">
        <f t="shared" si="231"/>
        <v>97</v>
      </c>
      <c r="AG117" s="26">
        <f t="shared" si="231"/>
        <v>242</v>
      </c>
      <c r="AH117" s="14">
        <f t="shared" si="231"/>
        <v>58</v>
      </c>
      <c r="AI117" s="15">
        <f t="shared" si="231"/>
        <v>300</v>
      </c>
      <c r="AJ117" s="15">
        <f t="shared" si="231"/>
        <v>2179</v>
      </c>
      <c r="AK117" s="15">
        <f t="shared" si="231"/>
        <v>1092</v>
      </c>
      <c r="AL117" s="15">
        <f t="shared" si="231"/>
        <v>3271</v>
      </c>
      <c r="AM117" s="14">
        <f>SUM(AM113:AM116)+1</f>
        <v>92.950000000000102</v>
      </c>
      <c r="AN117" s="83"/>
      <c r="AO117" s="16">
        <f t="shared" ref="AO117:AX117" si="232">SUM(AO113:AO116)</f>
        <v>2421</v>
      </c>
      <c r="AP117" s="16">
        <f t="shared" si="232"/>
        <v>1247</v>
      </c>
      <c r="AQ117" s="16">
        <f t="shared" si="232"/>
        <v>3668</v>
      </c>
      <c r="AR117" s="14">
        <f t="shared" si="232"/>
        <v>242.10000000000002</v>
      </c>
      <c r="AS117" s="14">
        <f t="shared" si="232"/>
        <v>62.350000000000009</v>
      </c>
      <c r="AT117" s="14">
        <f t="shared" si="232"/>
        <v>303.89999999999998</v>
      </c>
      <c r="AU117" s="82">
        <f t="shared" si="232"/>
        <v>2178.9</v>
      </c>
      <c r="AV117" s="15">
        <f t="shared" si="232"/>
        <v>1184.6500000000001</v>
      </c>
      <c r="AW117" s="15">
        <f t="shared" si="232"/>
        <v>3364.1</v>
      </c>
      <c r="AX117" s="213">
        <f t="shared" si="232"/>
        <v>-93.10000000000008</v>
      </c>
      <c r="AY117" s="169"/>
      <c r="AZ117" s="16">
        <f t="shared" ref="AZ117:BE117" si="233">SUM(AZ113:AZ116)</f>
        <v>2445</v>
      </c>
      <c r="BA117" s="16">
        <f t="shared" si="233"/>
        <v>1224</v>
      </c>
      <c r="BB117" s="16">
        <f t="shared" si="233"/>
        <v>3669</v>
      </c>
      <c r="BC117" s="14">
        <f t="shared" si="233"/>
        <v>244</v>
      </c>
      <c r="BD117" s="14">
        <f t="shared" si="233"/>
        <v>61</v>
      </c>
      <c r="BE117" s="15">
        <f t="shared" si="233"/>
        <v>305</v>
      </c>
      <c r="BF117" s="16">
        <f t="shared" si="192"/>
        <v>2201</v>
      </c>
      <c r="BG117" s="14">
        <f t="shared" si="192"/>
        <v>1163</v>
      </c>
      <c r="BH117" s="14">
        <f t="shared" si="192"/>
        <v>3364</v>
      </c>
      <c r="BI117" s="170"/>
      <c r="BJ117" s="171">
        <f t="shared" ref="BJ117:BO117" si="234">SUM(BJ113:BJ116)</f>
        <v>2201</v>
      </c>
      <c r="BK117" s="171">
        <f t="shared" si="234"/>
        <v>1163</v>
      </c>
      <c r="BL117" s="171">
        <f t="shared" si="234"/>
        <v>3364</v>
      </c>
      <c r="BM117" s="173">
        <f t="shared" si="234"/>
        <v>244</v>
      </c>
      <c r="BN117" s="173">
        <f t="shared" si="234"/>
        <v>61</v>
      </c>
      <c r="BO117" s="173">
        <f t="shared" si="234"/>
        <v>305</v>
      </c>
      <c r="BP117" s="14">
        <f t="shared" si="149"/>
        <v>2445</v>
      </c>
      <c r="BQ117" s="14">
        <f t="shared" si="149"/>
        <v>1224</v>
      </c>
      <c r="BR117" s="14">
        <f t="shared" si="149"/>
        <v>3669</v>
      </c>
      <c r="BS117" s="174"/>
      <c r="BT117" s="2"/>
      <c r="BU117" s="2"/>
    </row>
    <row r="118" spans="1:73" ht="48" customHeight="1" x14ac:dyDescent="0.25">
      <c r="A118" s="11" t="s">
        <v>210</v>
      </c>
      <c r="B118" s="85" t="s">
        <v>12</v>
      </c>
      <c r="C118" s="86" t="s">
        <v>38</v>
      </c>
      <c r="D118" s="71">
        <v>728</v>
      </c>
      <c r="E118" s="7">
        <v>428</v>
      </c>
      <c r="F118" s="6">
        <f>SUM(D118:E118)</f>
        <v>1156</v>
      </c>
      <c r="G118" s="6"/>
      <c r="H118" s="6"/>
      <c r="I118" s="6"/>
      <c r="J118" s="7">
        <f t="shared" ref="J118:L119" si="235">D118-G118</f>
        <v>728</v>
      </c>
      <c r="K118" s="6">
        <f t="shared" si="235"/>
        <v>428</v>
      </c>
      <c r="L118" s="6">
        <f t="shared" si="235"/>
        <v>1156</v>
      </c>
      <c r="M118" s="127"/>
      <c r="N118" s="8">
        <v>618</v>
      </c>
      <c r="O118" s="7">
        <v>446</v>
      </c>
      <c r="P118" s="6">
        <f>SUM(N118:O118)</f>
        <v>1064</v>
      </c>
      <c r="Q118" s="6"/>
      <c r="R118" s="6"/>
      <c r="S118" s="6"/>
      <c r="T118" s="7">
        <f>N118-Q118</f>
        <v>618</v>
      </c>
      <c r="U118" s="6">
        <f>O118-R118</f>
        <v>446</v>
      </c>
      <c r="V118" s="6">
        <f>P118-S118</f>
        <v>1064</v>
      </c>
      <c r="W118" s="160">
        <v>18</v>
      </c>
      <c r="X118" s="8">
        <f>T118</f>
        <v>618</v>
      </c>
      <c r="Y118" s="7">
        <f>U118-W118</f>
        <v>428</v>
      </c>
      <c r="Z118" s="7">
        <f t="shared" si="227"/>
        <v>1046</v>
      </c>
      <c r="AA118" s="7">
        <f>L118-Z118</f>
        <v>110</v>
      </c>
      <c r="AB118" s="96"/>
      <c r="AC118" s="8">
        <v>618</v>
      </c>
      <c r="AD118" s="7">
        <v>446</v>
      </c>
      <c r="AE118" s="6">
        <f>SUM(AC118:AD118)</f>
        <v>1064</v>
      </c>
      <c r="AF118" s="161">
        <v>35</v>
      </c>
      <c r="AG118" s="22"/>
      <c r="AH118" s="6"/>
      <c r="AI118" s="6"/>
      <c r="AJ118" s="7">
        <f>AC118-AG118</f>
        <v>618</v>
      </c>
      <c r="AK118" s="6">
        <f>AD118-AH118-AF118</f>
        <v>411</v>
      </c>
      <c r="AL118" s="6">
        <f>AE118-AI118-AF118</f>
        <v>1029</v>
      </c>
      <c r="AM118" s="6">
        <f>V118-AL118</f>
        <v>35</v>
      </c>
      <c r="AN118" s="72"/>
      <c r="AO118" s="8">
        <v>618</v>
      </c>
      <c r="AP118" s="7">
        <v>446</v>
      </c>
      <c r="AQ118" s="7">
        <f>SUM(AO118:AP118)</f>
        <v>1064</v>
      </c>
      <c r="AR118" s="6"/>
      <c r="AS118" s="6"/>
      <c r="AT118" s="6"/>
      <c r="AU118" s="71">
        <f>AO118-AR118</f>
        <v>618</v>
      </c>
      <c r="AV118" s="6">
        <f>AP118-AS118</f>
        <v>446</v>
      </c>
      <c r="AW118" s="6">
        <f>AQ118-AT118</f>
        <v>1064</v>
      </c>
      <c r="AX118" s="6">
        <f>AL118-AW118</f>
        <v>-35</v>
      </c>
      <c r="AY118" s="73"/>
      <c r="AZ118" s="8">
        <v>618</v>
      </c>
      <c r="BA118" s="7">
        <v>446</v>
      </c>
      <c r="BB118" s="7">
        <f>SUM(AZ118:BA118)</f>
        <v>1064</v>
      </c>
      <c r="BC118" s="6"/>
      <c r="BD118" s="6"/>
      <c r="BE118" s="6"/>
      <c r="BF118" s="7">
        <f t="shared" si="192"/>
        <v>618</v>
      </c>
      <c r="BG118" s="6">
        <f t="shared" si="192"/>
        <v>446</v>
      </c>
      <c r="BH118" s="6">
        <f t="shared" si="192"/>
        <v>1064</v>
      </c>
      <c r="BI118" s="162" t="s">
        <v>322</v>
      </c>
      <c r="BJ118" s="163">
        <v>518</v>
      </c>
      <c r="BK118" s="164">
        <v>546</v>
      </c>
      <c r="BL118" s="164">
        <f>SUM(BJ118:BK118)</f>
        <v>1064</v>
      </c>
      <c r="BM118" s="165"/>
      <c r="BN118" s="165"/>
      <c r="BO118" s="165"/>
      <c r="BP118" s="6">
        <f t="shared" si="149"/>
        <v>518</v>
      </c>
      <c r="BQ118" s="6">
        <f t="shared" si="149"/>
        <v>546</v>
      </c>
      <c r="BR118" s="6">
        <f t="shared" si="149"/>
        <v>1064</v>
      </c>
      <c r="BS118" s="166"/>
      <c r="BT118" s="2"/>
      <c r="BU118" s="2"/>
    </row>
    <row r="119" spans="1:73" ht="96" customHeight="1" x14ac:dyDescent="0.25">
      <c r="A119" s="105" t="s">
        <v>135</v>
      </c>
      <c r="B119" s="85" t="s">
        <v>225</v>
      </c>
      <c r="C119" s="86" t="s">
        <v>38</v>
      </c>
      <c r="D119" s="71">
        <v>186</v>
      </c>
      <c r="E119" s="7"/>
      <c r="F119" s="6">
        <f>SUM(D119:E119)</f>
        <v>186</v>
      </c>
      <c r="G119" s="6"/>
      <c r="H119" s="6"/>
      <c r="I119" s="6"/>
      <c r="J119" s="7">
        <f t="shared" si="235"/>
        <v>186</v>
      </c>
      <c r="K119" s="6">
        <f t="shared" si="235"/>
        <v>0</v>
      </c>
      <c r="L119" s="6">
        <f t="shared" si="235"/>
        <v>186</v>
      </c>
      <c r="M119" s="293" t="s">
        <v>393</v>
      </c>
      <c r="N119" s="8"/>
      <c r="O119" s="7"/>
      <c r="P119" s="6"/>
      <c r="Q119" s="6"/>
      <c r="R119" s="6"/>
      <c r="S119" s="6"/>
      <c r="T119" s="7"/>
      <c r="U119" s="6"/>
      <c r="V119" s="6"/>
      <c r="W119" s="160"/>
      <c r="X119" s="8"/>
      <c r="Y119" s="7"/>
      <c r="Z119" s="7"/>
      <c r="AA119" s="7">
        <f>L119-Z119</f>
        <v>186</v>
      </c>
      <c r="AB119" s="96"/>
      <c r="AC119" s="8"/>
      <c r="AD119" s="7"/>
      <c r="AE119" s="6"/>
      <c r="AF119" s="161"/>
      <c r="AG119" s="22"/>
      <c r="AH119" s="6"/>
      <c r="AI119" s="6"/>
      <c r="AJ119" s="7"/>
      <c r="AK119" s="6"/>
      <c r="AL119" s="6"/>
      <c r="AM119" s="6"/>
      <c r="AN119" s="72"/>
      <c r="AO119" s="8"/>
      <c r="AP119" s="7"/>
      <c r="AQ119" s="7"/>
      <c r="AR119" s="6"/>
      <c r="AS119" s="6"/>
      <c r="AT119" s="6"/>
      <c r="AU119" s="71"/>
      <c r="AV119" s="6"/>
      <c r="AW119" s="6"/>
      <c r="AX119" s="6"/>
      <c r="AY119" s="73"/>
      <c r="AZ119" s="8"/>
      <c r="BA119" s="7"/>
      <c r="BB119" s="7"/>
      <c r="BC119" s="6"/>
      <c r="BD119" s="6"/>
      <c r="BE119" s="6"/>
      <c r="BF119" s="7"/>
      <c r="BG119" s="6"/>
      <c r="BH119" s="6"/>
      <c r="BI119" s="162"/>
      <c r="BJ119" s="163"/>
      <c r="BK119" s="164"/>
      <c r="BL119" s="164"/>
      <c r="BM119" s="165"/>
      <c r="BN119" s="165"/>
      <c r="BO119" s="165"/>
      <c r="BP119" s="6"/>
      <c r="BQ119" s="6"/>
      <c r="BR119" s="6"/>
      <c r="BS119" s="166"/>
      <c r="BT119" s="2"/>
      <c r="BU119" s="2"/>
    </row>
    <row r="120" spans="1:73" s="5" customFormat="1" ht="35.1" customHeight="1" x14ac:dyDescent="0.25">
      <c r="A120" s="79"/>
      <c r="B120" s="80" t="s">
        <v>39</v>
      </c>
      <c r="C120" s="81"/>
      <c r="D120" s="94">
        <f>SUM(D118:D119)</f>
        <v>914</v>
      </c>
      <c r="E120" s="15">
        <f>SUM(E118:E119)</f>
        <v>428</v>
      </c>
      <c r="F120" s="15">
        <f>SUM(F118:F119)</f>
        <v>1342</v>
      </c>
      <c r="G120" s="14"/>
      <c r="H120" s="14"/>
      <c r="I120" s="14"/>
      <c r="J120" s="15">
        <f>SUM(J118:J119)</f>
        <v>914</v>
      </c>
      <c r="K120" s="15">
        <f>SUM(K118:K119)</f>
        <v>428</v>
      </c>
      <c r="L120" s="15">
        <f>SUM(L118:L119)</f>
        <v>1342</v>
      </c>
      <c r="M120" s="130"/>
      <c r="N120" s="16">
        <f>SUM(N118)</f>
        <v>618</v>
      </c>
      <c r="O120" s="15">
        <f>SUM(O118)</f>
        <v>446</v>
      </c>
      <c r="P120" s="15">
        <f>SUM(P118)</f>
        <v>1064</v>
      </c>
      <c r="Q120" s="14"/>
      <c r="R120" s="14"/>
      <c r="S120" s="14"/>
      <c r="T120" s="15">
        <f t="shared" ref="T120:Z120" si="236">SUM(T118)</f>
        <v>618</v>
      </c>
      <c r="U120" s="15">
        <f t="shared" si="236"/>
        <v>446</v>
      </c>
      <c r="V120" s="14">
        <f t="shared" si="236"/>
        <v>1064</v>
      </c>
      <c r="W120" s="167">
        <f t="shared" si="236"/>
        <v>18</v>
      </c>
      <c r="X120" s="16">
        <f t="shared" si="236"/>
        <v>618</v>
      </c>
      <c r="Y120" s="15">
        <f t="shared" si="236"/>
        <v>428</v>
      </c>
      <c r="Z120" s="15">
        <f t="shared" si="236"/>
        <v>1046</v>
      </c>
      <c r="AA120" s="15">
        <f>SUM(AA118:AA119)</f>
        <v>296</v>
      </c>
      <c r="AB120" s="91"/>
      <c r="AC120" s="16">
        <f t="shared" ref="AC120:AQ120" si="237">SUM(AC118)</f>
        <v>618</v>
      </c>
      <c r="AD120" s="15">
        <f t="shared" si="237"/>
        <v>446</v>
      </c>
      <c r="AE120" s="14">
        <f t="shared" si="237"/>
        <v>1064</v>
      </c>
      <c r="AF120" s="168">
        <f t="shared" si="237"/>
        <v>35</v>
      </c>
      <c r="AG120" s="26"/>
      <c r="AH120" s="14"/>
      <c r="AI120" s="14"/>
      <c r="AJ120" s="15">
        <f>SUM(AJ118)</f>
        <v>618</v>
      </c>
      <c r="AK120" s="15">
        <f>SUM(AK118)</f>
        <v>411</v>
      </c>
      <c r="AL120" s="15">
        <f>SUM(AL118)</f>
        <v>1029</v>
      </c>
      <c r="AM120" s="14">
        <f>SUM(AM118)</f>
        <v>35</v>
      </c>
      <c r="AN120" s="83"/>
      <c r="AO120" s="16">
        <f t="shared" si="237"/>
        <v>618</v>
      </c>
      <c r="AP120" s="15">
        <f t="shared" si="237"/>
        <v>446</v>
      </c>
      <c r="AQ120" s="15">
        <f t="shared" si="237"/>
        <v>1064</v>
      </c>
      <c r="AR120" s="14"/>
      <c r="AS120" s="14"/>
      <c r="AT120" s="14"/>
      <c r="AU120" s="82">
        <f>SUM(AU118)</f>
        <v>618</v>
      </c>
      <c r="AV120" s="15">
        <f>SUM(AV118)</f>
        <v>446</v>
      </c>
      <c r="AW120" s="15">
        <f>SUM(AW118)</f>
        <v>1064</v>
      </c>
      <c r="AX120" s="15">
        <f>SUM(AX118)</f>
        <v>-35</v>
      </c>
      <c r="AY120" s="169"/>
      <c r="AZ120" s="16">
        <f>SUM(AZ118)</f>
        <v>618</v>
      </c>
      <c r="BA120" s="15">
        <f>SUM(BA118)</f>
        <v>446</v>
      </c>
      <c r="BB120" s="15">
        <f>SUM(BB118)</f>
        <v>1064</v>
      </c>
      <c r="BC120" s="14"/>
      <c r="BD120" s="14"/>
      <c r="BE120" s="14"/>
      <c r="BF120" s="15">
        <f t="shared" si="192"/>
        <v>618</v>
      </c>
      <c r="BG120" s="14">
        <f t="shared" si="192"/>
        <v>446</v>
      </c>
      <c r="BH120" s="14">
        <f t="shared" si="192"/>
        <v>1064</v>
      </c>
      <c r="BI120" s="170"/>
      <c r="BJ120" s="171">
        <f>SUM(BJ118)</f>
        <v>518</v>
      </c>
      <c r="BK120" s="172">
        <f>SUM(BK118)</f>
        <v>546</v>
      </c>
      <c r="BL120" s="172">
        <f>SUM(BL118)</f>
        <v>1064</v>
      </c>
      <c r="BM120" s="173"/>
      <c r="BN120" s="173"/>
      <c r="BO120" s="173"/>
      <c r="BP120" s="14">
        <f t="shared" si="149"/>
        <v>518</v>
      </c>
      <c r="BQ120" s="14">
        <f t="shared" si="149"/>
        <v>546</v>
      </c>
      <c r="BR120" s="14">
        <f t="shared" si="149"/>
        <v>1064</v>
      </c>
      <c r="BS120" s="174"/>
      <c r="BT120" s="2"/>
      <c r="BU120" s="2"/>
    </row>
    <row r="121" spans="1:73" ht="53.25" customHeight="1" x14ac:dyDescent="0.25">
      <c r="A121" s="11" t="s">
        <v>211</v>
      </c>
      <c r="B121" s="12" t="s">
        <v>226</v>
      </c>
      <c r="C121" s="70" t="s">
        <v>40</v>
      </c>
      <c r="D121" s="71">
        <v>776</v>
      </c>
      <c r="E121" s="7">
        <v>64</v>
      </c>
      <c r="F121" s="7">
        <f>SUM(D121:E121)</f>
        <v>840</v>
      </c>
      <c r="G121" s="6"/>
      <c r="H121" s="6"/>
      <c r="I121" s="6"/>
      <c r="J121" s="7">
        <f>D121-G121</f>
        <v>776</v>
      </c>
      <c r="K121" s="6">
        <f>E121-H121</f>
        <v>64</v>
      </c>
      <c r="L121" s="6">
        <f>F121-I121</f>
        <v>840</v>
      </c>
      <c r="M121" s="126"/>
      <c r="N121" s="8">
        <v>776</v>
      </c>
      <c r="O121" s="7">
        <v>67</v>
      </c>
      <c r="P121" s="7">
        <f>SUM(N121:O121)</f>
        <v>843</v>
      </c>
      <c r="Q121" s="6"/>
      <c r="R121" s="6"/>
      <c r="S121" s="6"/>
      <c r="T121" s="7">
        <f>N121-Q121</f>
        <v>776</v>
      </c>
      <c r="U121" s="6">
        <f>O121-R121</f>
        <v>67</v>
      </c>
      <c r="V121" s="6">
        <f>P121-S121</f>
        <v>843</v>
      </c>
      <c r="W121" s="160">
        <v>3</v>
      </c>
      <c r="X121" s="8">
        <f>T121</f>
        <v>776</v>
      </c>
      <c r="Y121" s="7">
        <f>U121-W121</f>
        <v>64</v>
      </c>
      <c r="Z121" s="7">
        <f>X121+Y121</f>
        <v>840</v>
      </c>
      <c r="AA121" s="22">
        <f>L121-Z121</f>
        <v>0</v>
      </c>
      <c r="AB121" s="72"/>
      <c r="AC121" s="8">
        <v>776</v>
      </c>
      <c r="AD121" s="7">
        <v>67</v>
      </c>
      <c r="AE121" s="6">
        <f>SUM(AC121:AD121)</f>
        <v>843</v>
      </c>
      <c r="AF121" s="161">
        <v>5</v>
      </c>
      <c r="AG121" s="22"/>
      <c r="AH121" s="6"/>
      <c r="AI121" s="6"/>
      <c r="AJ121" s="7">
        <f>AC121-AG121</f>
        <v>776</v>
      </c>
      <c r="AK121" s="6">
        <f>AD121-AH121-AF121</f>
        <v>62</v>
      </c>
      <c r="AL121" s="6">
        <f>AE121-AI121-AF121</f>
        <v>838</v>
      </c>
      <c r="AM121" s="6">
        <f>V121-AL121</f>
        <v>5</v>
      </c>
      <c r="AN121" s="72"/>
      <c r="AO121" s="8">
        <v>776</v>
      </c>
      <c r="AP121" s="7">
        <v>67</v>
      </c>
      <c r="AQ121" s="7">
        <f>SUM(AO121:AP121)</f>
        <v>843</v>
      </c>
      <c r="AR121" s="6"/>
      <c r="AS121" s="6"/>
      <c r="AT121" s="6"/>
      <c r="AU121" s="71">
        <f>AO121-AR121</f>
        <v>776</v>
      </c>
      <c r="AV121" s="6">
        <f>AP121-AS121</f>
        <v>67</v>
      </c>
      <c r="AW121" s="6">
        <f>AQ121-AT121</f>
        <v>843</v>
      </c>
      <c r="AX121" s="6">
        <f>AL121-AW121</f>
        <v>-5</v>
      </c>
      <c r="AY121" s="175"/>
      <c r="AZ121" s="8">
        <f>712+64</f>
        <v>776</v>
      </c>
      <c r="BA121" s="7">
        <v>67</v>
      </c>
      <c r="BB121" s="7">
        <f>SUM(AZ121:BA121)</f>
        <v>843</v>
      </c>
      <c r="BC121" s="6"/>
      <c r="BD121" s="6"/>
      <c r="BE121" s="6"/>
      <c r="BF121" s="7">
        <f t="shared" si="192"/>
        <v>776</v>
      </c>
      <c r="BG121" s="6">
        <f t="shared" si="192"/>
        <v>67</v>
      </c>
      <c r="BH121" s="6">
        <f t="shared" si="192"/>
        <v>843</v>
      </c>
      <c r="BI121" s="214" t="s">
        <v>280</v>
      </c>
      <c r="BJ121" s="163">
        <v>712</v>
      </c>
      <c r="BK121" s="164">
        <v>67</v>
      </c>
      <c r="BL121" s="164">
        <f>SUM(BJ121:BK121)</f>
        <v>779</v>
      </c>
      <c r="BM121" s="165"/>
      <c r="BN121" s="165"/>
      <c r="BO121" s="165"/>
      <c r="BP121" s="6">
        <f t="shared" si="149"/>
        <v>712</v>
      </c>
      <c r="BQ121" s="6">
        <f t="shared" si="149"/>
        <v>67</v>
      </c>
      <c r="BR121" s="6">
        <f t="shared" si="149"/>
        <v>779</v>
      </c>
      <c r="BS121" s="166"/>
      <c r="BT121" s="2"/>
      <c r="BU121" s="2"/>
    </row>
    <row r="122" spans="1:73" s="5" customFormat="1" ht="35.1" customHeight="1" x14ac:dyDescent="0.25">
      <c r="A122" s="79"/>
      <c r="B122" s="80" t="s">
        <v>41</v>
      </c>
      <c r="C122" s="81"/>
      <c r="D122" s="82">
        <f>SUM(D121)</f>
        <v>776</v>
      </c>
      <c r="E122" s="15">
        <f>SUM(E121)</f>
        <v>64</v>
      </c>
      <c r="F122" s="15">
        <f>SUM(F121)</f>
        <v>840</v>
      </c>
      <c r="G122" s="14"/>
      <c r="H122" s="14"/>
      <c r="I122" s="14"/>
      <c r="J122" s="15">
        <f>SUM(J121)</f>
        <v>776</v>
      </c>
      <c r="K122" s="15">
        <f>SUM(K121)</f>
        <v>64</v>
      </c>
      <c r="L122" s="14">
        <f>SUM(L121)</f>
        <v>840</v>
      </c>
      <c r="M122" s="130"/>
      <c r="N122" s="16">
        <f>SUM(N121)</f>
        <v>776</v>
      </c>
      <c r="O122" s="15">
        <f>SUM(O121)</f>
        <v>67</v>
      </c>
      <c r="P122" s="15">
        <f>SUM(P121)</f>
        <v>843</v>
      </c>
      <c r="Q122" s="14"/>
      <c r="R122" s="14"/>
      <c r="S122" s="14"/>
      <c r="T122" s="15">
        <f t="shared" ref="T122:AA122" si="238">SUM(T121)</f>
        <v>776</v>
      </c>
      <c r="U122" s="15">
        <f t="shared" si="238"/>
        <v>67</v>
      </c>
      <c r="V122" s="14">
        <f t="shared" si="238"/>
        <v>843</v>
      </c>
      <c r="W122" s="167">
        <f t="shared" si="238"/>
        <v>3</v>
      </c>
      <c r="X122" s="16">
        <f t="shared" si="238"/>
        <v>776</v>
      </c>
      <c r="Y122" s="15">
        <f t="shared" si="238"/>
        <v>64</v>
      </c>
      <c r="Z122" s="15">
        <f t="shared" si="238"/>
        <v>840</v>
      </c>
      <c r="AA122" s="26">
        <f t="shared" si="238"/>
        <v>0</v>
      </c>
      <c r="AB122" s="83"/>
      <c r="AC122" s="16">
        <f t="shared" ref="AC122:AQ122" si="239">SUM(AC121)</f>
        <v>776</v>
      </c>
      <c r="AD122" s="15">
        <f t="shared" si="239"/>
        <v>67</v>
      </c>
      <c r="AE122" s="14">
        <f t="shared" si="239"/>
        <v>843</v>
      </c>
      <c r="AF122" s="168">
        <f t="shared" si="239"/>
        <v>5</v>
      </c>
      <c r="AG122" s="26"/>
      <c r="AH122" s="14"/>
      <c r="AI122" s="14"/>
      <c r="AJ122" s="15">
        <f>SUM(AJ121)</f>
        <v>776</v>
      </c>
      <c r="AK122" s="15">
        <f>SUM(AK121)</f>
        <v>62</v>
      </c>
      <c r="AL122" s="15">
        <f>SUM(AL121)</f>
        <v>838</v>
      </c>
      <c r="AM122" s="14">
        <f>SUM(AM121)</f>
        <v>5</v>
      </c>
      <c r="AN122" s="83"/>
      <c r="AO122" s="16">
        <f t="shared" si="239"/>
        <v>776</v>
      </c>
      <c r="AP122" s="15">
        <f t="shared" si="239"/>
        <v>67</v>
      </c>
      <c r="AQ122" s="15">
        <f t="shared" si="239"/>
        <v>843</v>
      </c>
      <c r="AR122" s="14"/>
      <c r="AS122" s="14"/>
      <c r="AT122" s="14"/>
      <c r="AU122" s="82">
        <f>SUM(AU121)</f>
        <v>776</v>
      </c>
      <c r="AV122" s="15">
        <f>SUM(AV121)</f>
        <v>67</v>
      </c>
      <c r="AW122" s="15">
        <f>SUM(AW121)</f>
        <v>843</v>
      </c>
      <c r="AX122" s="15">
        <f>SUM(AX121)</f>
        <v>-5</v>
      </c>
      <c r="AY122" s="169"/>
      <c r="AZ122" s="16">
        <f>SUM(AZ121)</f>
        <v>776</v>
      </c>
      <c r="BA122" s="15">
        <f>SUM(BA121)</f>
        <v>67</v>
      </c>
      <c r="BB122" s="15">
        <f>SUM(AZ122:BA122)</f>
        <v>843</v>
      </c>
      <c r="BC122" s="14"/>
      <c r="BD122" s="14"/>
      <c r="BE122" s="14"/>
      <c r="BF122" s="15">
        <f t="shared" si="192"/>
        <v>776</v>
      </c>
      <c r="BG122" s="14">
        <f t="shared" si="192"/>
        <v>67</v>
      </c>
      <c r="BH122" s="14">
        <f t="shared" si="192"/>
        <v>843</v>
      </c>
      <c r="BI122" s="170"/>
      <c r="BJ122" s="171">
        <f>SUM(BJ121)</f>
        <v>712</v>
      </c>
      <c r="BK122" s="172">
        <f>SUM(BK121)</f>
        <v>67</v>
      </c>
      <c r="BL122" s="172">
        <f>SUM(BJ122:BK122)</f>
        <v>779</v>
      </c>
      <c r="BM122" s="173"/>
      <c r="BN122" s="173"/>
      <c r="BO122" s="173"/>
      <c r="BP122" s="14">
        <f t="shared" si="149"/>
        <v>712</v>
      </c>
      <c r="BQ122" s="14">
        <f t="shared" si="149"/>
        <v>67</v>
      </c>
      <c r="BR122" s="14">
        <f t="shared" si="149"/>
        <v>779</v>
      </c>
      <c r="BS122" s="174"/>
      <c r="BT122" s="2"/>
      <c r="BU122" s="2"/>
    </row>
    <row r="123" spans="1:73" ht="35.1" customHeight="1" x14ac:dyDescent="0.25">
      <c r="A123" s="11" t="s">
        <v>212</v>
      </c>
      <c r="B123" s="9" t="s">
        <v>42</v>
      </c>
      <c r="C123" s="70" t="s">
        <v>43</v>
      </c>
      <c r="D123" s="71">
        <v>1002</v>
      </c>
      <c r="E123" s="7">
        <v>397</v>
      </c>
      <c r="F123" s="7">
        <f>SUM(D123:E123)</f>
        <v>1399</v>
      </c>
      <c r="G123" s="6"/>
      <c r="H123" s="6"/>
      <c r="I123" s="6"/>
      <c r="J123" s="7">
        <f t="shared" ref="J123:L126" si="240">D123-G123</f>
        <v>1002</v>
      </c>
      <c r="K123" s="6">
        <f t="shared" si="240"/>
        <v>397</v>
      </c>
      <c r="L123" s="6">
        <f t="shared" si="240"/>
        <v>1399</v>
      </c>
      <c r="M123" s="132"/>
      <c r="N123" s="8">
        <v>1002</v>
      </c>
      <c r="O123" s="7">
        <v>414</v>
      </c>
      <c r="P123" s="7">
        <f>SUM(N123:O123)</f>
        <v>1416</v>
      </c>
      <c r="Q123" s="6"/>
      <c r="R123" s="6"/>
      <c r="S123" s="6"/>
      <c r="T123" s="7">
        <f>N123-Q123</f>
        <v>1002</v>
      </c>
      <c r="U123" s="6">
        <f>O123-R123</f>
        <v>414</v>
      </c>
      <c r="V123" s="6">
        <f>P123-S123</f>
        <v>1416</v>
      </c>
      <c r="W123" s="160">
        <v>17</v>
      </c>
      <c r="X123" s="8">
        <f>T123</f>
        <v>1002</v>
      </c>
      <c r="Y123" s="7">
        <f>U123-W123</f>
        <v>397</v>
      </c>
      <c r="Z123" s="7">
        <f>X123+Y123</f>
        <v>1399</v>
      </c>
      <c r="AA123" s="22">
        <f>L123-Z123</f>
        <v>0</v>
      </c>
      <c r="AB123" s="215"/>
      <c r="AC123" s="8">
        <v>1002</v>
      </c>
      <c r="AD123" s="7">
        <v>414</v>
      </c>
      <c r="AE123" s="6">
        <f>SUM(AC123:AD123)</f>
        <v>1416</v>
      </c>
      <c r="AF123" s="161">
        <v>32</v>
      </c>
      <c r="AG123" s="22"/>
      <c r="AH123" s="6"/>
      <c r="AI123" s="6"/>
      <c r="AJ123" s="7">
        <f>AC123-AG123</f>
        <v>1002</v>
      </c>
      <c r="AK123" s="6">
        <f>AD123-AH123-AF123</f>
        <v>382</v>
      </c>
      <c r="AL123" s="6">
        <f>AE123-AI123-AF123</f>
        <v>1384</v>
      </c>
      <c r="AM123" s="6">
        <f>V123-AL123</f>
        <v>32</v>
      </c>
      <c r="AN123" s="215"/>
      <c r="AO123" s="8">
        <f>1002</f>
        <v>1002</v>
      </c>
      <c r="AP123" s="7">
        <v>414</v>
      </c>
      <c r="AQ123" s="7">
        <f>SUM(AO123:AP123)</f>
        <v>1416</v>
      </c>
      <c r="AR123" s="6"/>
      <c r="AS123" s="6"/>
      <c r="AT123" s="6"/>
      <c r="AU123" s="71">
        <f>AO123-AR123</f>
        <v>1002</v>
      </c>
      <c r="AV123" s="6">
        <f>AP123-AS123</f>
        <v>414</v>
      </c>
      <c r="AW123" s="6">
        <f>AQ123-AT123</f>
        <v>1416</v>
      </c>
      <c r="AX123" s="6">
        <f>AL123-AW123</f>
        <v>-32</v>
      </c>
      <c r="AY123" s="73"/>
      <c r="AZ123" s="8">
        <v>1002</v>
      </c>
      <c r="BA123" s="7">
        <v>414</v>
      </c>
      <c r="BB123" s="7">
        <f>SUM(AZ123:BA123)</f>
        <v>1416</v>
      </c>
      <c r="BC123" s="6"/>
      <c r="BD123" s="6"/>
      <c r="BE123" s="6"/>
      <c r="BF123" s="7">
        <f t="shared" si="192"/>
        <v>1002</v>
      </c>
      <c r="BG123" s="6">
        <f t="shared" si="192"/>
        <v>414</v>
      </c>
      <c r="BH123" s="6">
        <f t="shared" si="192"/>
        <v>1416</v>
      </c>
      <c r="BI123" s="162"/>
      <c r="BJ123" s="163">
        <v>1002</v>
      </c>
      <c r="BK123" s="164">
        <v>414</v>
      </c>
      <c r="BL123" s="164">
        <f>SUM(BJ123:BK123)</f>
        <v>1416</v>
      </c>
      <c r="BM123" s="165"/>
      <c r="BN123" s="165"/>
      <c r="BO123" s="165"/>
      <c r="BP123" s="6">
        <f t="shared" si="149"/>
        <v>1002</v>
      </c>
      <c r="BQ123" s="6">
        <f t="shared" si="149"/>
        <v>414</v>
      </c>
      <c r="BR123" s="6">
        <f t="shared" si="149"/>
        <v>1416</v>
      </c>
      <c r="BS123" s="166"/>
      <c r="BT123" s="2"/>
      <c r="BU123" s="2"/>
    </row>
    <row r="124" spans="1:73" s="18" customFormat="1" ht="54" customHeight="1" x14ac:dyDescent="0.25">
      <c r="A124" s="88" t="s">
        <v>44</v>
      </c>
      <c r="B124" s="85" t="s">
        <v>118</v>
      </c>
      <c r="C124" s="86" t="s">
        <v>43</v>
      </c>
      <c r="D124" s="71">
        <v>11874</v>
      </c>
      <c r="E124" s="7">
        <v>0</v>
      </c>
      <c r="F124" s="7">
        <f>SUM(D124:E124)</f>
        <v>11874</v>
      </c>
      <c r="G124" s="17"/>
      <c r="H124" s="17"/>
      <c r="I124" s="17"/>
      <c r="J124" s="7">
        <f t="shared" si="240"/>
        <v>11874</v>
      </c>
      <c r="K124" s="6">
        <f t="shared" si="240"/>
        <v>0</v>
      </c>
      <c r="L124" s="6">
        <f t="shared" si="240"/>
        <v>11874</v>
      </c>
      <c r="M124" s="278"/>
      <c r="N124" s="8">
        <v>11842</v>
      </c>
      <c r="O124" s="7">
        <v>0</v>
      </c>
      <c r="P124" s="7">
        <f>SUM(N124:O124)</f>
        <v>11842</v>
      </c>
      <c r="Q124" s="17"/>
      <c r="R124" s="17"/>
      <c r="S124" s="17"/>
      <c r="T124" s="7">
        <f t="shared" ref="T124:V126" si="241">N124-Q124</f>
        <v>11842</v>
      </c>
      <c r="U124" s="6">
        <f t="shared" si="241"/>
        <v>0</v>
      </c>
      <c r="V124" s="6">
        <f t="shared" si="241"/>
        <v>11842</v>
      </c>
      <c r="W124" s="160"/>
      <c r="X124" s="8">
        <f>T124</f>
        <v>11842</v>
      </c>
      <c r="Y124" s="7">
        <f>U124-W124</f>
        <v>0</v>
      </c>
      <c r="Z124" s="7">
        <f>X124+Y124</f>
        <v>11842</v>
      </c>
      <c r="AA124" s="22">
        <f>L124-Z124</f>
        <v>32</v>
      </c>
      <c r="AB124" s="73" t="s">
        <v>327</v>
      </c>
      <c r="AC124" s="20">
        <v>10026</v>
      </c>
      <c r="AD124" s="19">
        <v>0</v>
      </c>
      <c r="AE124" s="6">
        <f>SUM(AC124:AD124)</f>
        <v>10026</v>
      </c>
      <c r="AF124" s="161"/>
      <c r="AG124" s="21"/>
      <c r="AH124" s="17"/>
      <c r="AI124" s="17"/>
      <c r="AJ124" s="7">
        <f t="shared" ref="AJ124:AL125" si="242">AC124-AG124</f>
        <v>10026</v>
      </c>
      <c r="AK124" s="6">
        <f t="shared" si="242"/>
        <v>0</v>
      </c>
      <c r="AL124" s="6">
        <f t="shared" si="242"/>
        <v>10026</v>
      </c>
      <c r="AM124" s="6">
        <f>V124-AL124</f>
        <v>1816</v>
      </c>
      <c r="AN124" s="73" t="s">
        <v>328</v>
      </c>
      <c r="AO124" s="20">
        <f>6544+4609</f>
        <v>11153</v>
      </c>
      <c r="AP124" s="19">
        <v>0</v>
      </c>
      <c r="AQ124" s="7">
        <f>SUM(AO124:AP124)</f>
        <v>11153</v>
      </c>
      <c r="AR124" s="17"/>
      <c r="AS124" s="17"/>
      <c r="AT124" s="17"/>
      <c r="AU124" s="71">
        <f t="shared" ref="AU124:AW125" si="243">AO124-AR124</f>
        <v>11153</v>
      </c>
      <c r="AV124" s="6">
        <f t="shared" si="243"/>
        <v>0</v>
      </c>
      <c r="AW124" s="6">
        <f t="shared" si="243"/>
        <v>11153</v>
      </c>
      <c r="AX124" s="6">
        <f>AL124-AW124</f>
        <v>-1127</v>
      </c>
      <c r="AY124" s="73" t="s">
        <v>329</v>
      </c>
      <c r="AZ124" s="20">
        <f>4844+1700</f>
        <v>6544</v>
      </c>
      <c r="BA124" s="19">
        <v>0</v>
      </c>
      <c r="BB124" s="19">
        <f>SUM(AZ124:BA124)</f>
        <v>6544</v>
      </c>
      <c r="BC124" s="17"/>
      <c r="BD124" s="17"/>
      <c r="BE124" s="17"/>
      <c r="BF124" s="19">
        <f t="shared" si="192"/>
        <v>6544</v>
      </c>
      <c r="BG124" s="17">
        <f t="shared" si="192"/>
        <v>0</v>
      </c>
      <c r="BH124" s="17">
        <f t="shared" si="192"/>
        <v>6544</v>
      </c>
      <c r="BI124" s="179" t="s">
        <v>330</v>
      </c>
      <c r="BJ124" s="180">
        <v>4844</v>
      </c>
      <c r="BK124" s="181">
        <v>0</v>
      </c>
      <c r="BL124" s="181">
        <f>SUM(BJ124:BK124)</f>
        <v>4844</v>
      </c>
      <c r="BM124" s="182"/>
      <c r="BN124" s="182"/>
      <c r="BO124" s="182"/>
      <c r="BP124" s="17">
        <f t="shared" si="149"/>
        <v>4844</v>
      </c>
      <c r="BQ124" s="17">
        <f t="shared" si="149"/>
        <v>0</v>
      </c>
      <c r="BR124" s="17">
        <f t="shared" si="149"/>
        <v>4844</v>
      </c>
      <c r="BS124" s="183"/>
      <c r="BT124" s="2"/>
      <c r="BU124" s="2"/>
    </row>
    <row r="125" spans="1:73" s="18" customFormat="1" ht="122.25" customHeight="1" x14ac:dyDescent="0.25">
      <c r="A125" s="88" t="s">
        <v>45</v>
      </c>
      <c r="B125" s="85" t="s">
        <v>52</v>
      </c>
      <c r="C125" s="86" t="s">
        <v>43</v>
      </c>
      <c r="D125" s="71">
        <v>300</v>
      </c>
      <c r="E125" s="8"/>
      <c r="F125" s="7">
        <f>SUM(D125:E125)</f>
        <v>300</v>
      </c>
      <c r="G125" s="17"/>
      <c r="H125" s="17"/>
      <c r="I125" s="17"/>
      <c r="J125" s="7">
        <f t="shared" si="240"/>
        <v>300</v>
      </c>
      <c r="K125" s="6">
        <f t="shared" si="240"/>
        <v>0</v>
      </c>
      <c r="L125" s="6">
        <f t="shared" si="240"/>
        <v>300</v>
      </c>
      <c r="M125" s="278" t="s">
        <v>352</v>
      </c>
      <c r="N125" s="8">
        <v>300</v>
      </c>
      <c r="O125" s="8"/>
      <c r="P125" s="7">
        <f>SUM(N125:O125)</f>
        <v>300</v>
      </c>
      <c r="Q125" s="17"/>
      <c r="R125" s="17"/>
      <c r="S125" s="17"/>
      <c r="T125" s="7">
        <f t="shared" si="241"/>
        <v>300</v>
      </c>
      <c r="U125" s="6">
        <f t="shared" si="241"/>
        <v>0</v>
      </c>
      <c r="V125" s="6">
        <f t="shared" si="241"/>
        <v>300</v>
      </c>
      <c r="W125" s="160"/>
      <c r="X125" s="8">
        <f>T125</f>
        <v>300</v>
      </c>
      <c r="Y125" s="7">
        <f>U125-W125</f>
        <v>0</v>
      </c>
      <c r="Z125" s="7">
        <f>X125+Y125</f>
        <v>300</v>
      </c>
      <c r="AA125" s="22">
        <f>L125-Z125</f>
        <v>0</v>
      </c>
      <c r="AB125" s="73" t="s">
        <v>331</v>
      </c>
      <c r="AC125" s="20">
        <v>200</v>
      </c>
      <c r="AD125" s="20">
        <v>0</v>
      </c>
      <c r="AE125" s="6">
        <f>SUM(AC125:AD125)</f>
        <v>200</v>
      </c>
      <c r="AF125" s="161"/>
      <c r="AG125" s="21"/>
      <c r="AH125" s="17"/>
      <c r="AI125" s="17"/>
      <c r="AJ125" s="7">
        <f t="shared" si="242"/>
        <v>200</v>
      </c>
      <c r="AK125" s="6">
        <f t="shared" si="242"/>
        <v>0</v>
      </c>
      <c r="AL125" s="6">
        <f t="shared" si="242"/>
        <v>200</v>
      </c>
      <c r="AM125" s="6">
        <f>V125-AL125</f>
        <v>100</v>
      </c>
      <c r="AN125" s="73" t="s">
        <v>332</v>
      </c>
      <c r="AO125" s="20">
        <v>400</v>
      </c>
      <c r="AP125" s="20">
        <v>0</v>
      </c>
      <c r="AQ125" s="7">
        <f>SUM(AO125:AP125)</f>
        <v>400</v>
      </c>
      <c r="AR125" s="17"/>
      <c r="AS125" s="17"/>
      <c r="AT125" s="17"/>
      <c r="AU125" s="71">
        <f t="shared" si="243"/>
        <v>400</v>
      </c>
      <c r="AV125" s="6">
        <f t="shared" si="243"/>
        <v>0</v>
      </c>
      <c r="AW125" s="6">
        <f t="shared" si="243"/>
        <v>400</v>
      </c>
      <c r="AX125" s="6">
        <f>AL125-AW125</f>
        <v>-200</v>
      </c>
      <c r="AY125" s="78" t="s">
        <v>333</v>
      </c>
      <c r="AZ125" s="20">
        <v>600</v>
      </c>
      <c r="BA125" s="20">
        <v>0</v>
      </c>
      <c r="BB125" s="20">
        <f>SUM(AZ125:BA125)</f>
        <v>600</v>
      </c>
      <c r="BC125" s="17"/>
      <c r="BD125" s="17"/>
      <c r="BE125" s="19"/>
      <c r="BF125" s="19">
        <f t="shared" si="192"/>
        <v>600</v>
      </c>
      <c r="BG125" s="17">
        <v>0</v>
      </c>
      <c r="BH125" s="17">
        <f t="shared" si="192"/>
        <v>600</v>
      </c>
      <c r="BI125" s="179" t="s">
        <v>271</v>
      </c>
      <c r="BJ125" s="180"/>
      <c r="BK125" s="180"/>
      <c r="BL125" s="180"/>
      <c r="BM125" s="182"/>
      <c r="BN125" s="182"/>
      <c r="BO125" s="182"/>
      <c r="BP125" s="17"/>
      <c r="BQ125" s="17"/>
      <c r="BR125" s="17"/>
      <c r="BS125" s="183"/>
      <c r="BT125" s="2"/>
      <c r="BU125" s="2"/>
    </row>
    <row r="126" spans="1:73" s="18" customFormat="1" ht="35.1" customHeight="1" x14ac:dyDescent="0.25">
      <c r="A126" s="88" t="s">
        <v>227</v>
      </c>
      <c r="B126" s="85" t="s">
        <v>213</v>
      </c>
      <c r="C126" s="86" t="s">
        <v>43</v>
      </c>
      <c r="D126" s="71">
        <v>520</v>
      </c>
      <c r="E126" s="8"/>
      <c r="F126" s="7">
        <f>SUM(D126:E126)</f>
        <v>520</v>
      </c>
      <c r="G126" s="19"/>
      <c r="H126" s="19"/>
      <c r="I126" s="19"/>
      <c r="J126" s="7">
        <f t="shared" si="240"/>
        <v>520</v>
      </c>
      <c r="K126" s="6">
        <f t="shared" si="240"/>
        <v>0</v>
      </c>
      <c r="L126" s="6">
        <f t="shared" si="240"/>
        <v>520</v>
      </c>
      <c r="M126" s="73"/>
      <c r="N126" s="71">
        <v>520</v>
      </c>
      <c r="O126" s="8"/>
      <c r="P126" s="7">
        <f>SUM(N126:O126)</f>
        <v>520</v>
      </c>
      <c r="Q126" s="19"/>
      <c r="R126" s="19"/>
      <c r="S126" s="19"/>
      <c r="T126" s="7">
        <f t="shared" si="241"/>
        <v>520</v>
      </c>
      <c r="U126" s="6">
        <f t="shared" si="241"/>
        <v>0</v>
      </c>
      <c r="V126" s="6">
        <f t="shared" si="241"/>
        <v>520</v>
      </c>
      <c r="W126" s="160"/>
      <c r="X126" s="8">
        <f>T126</f>
        <v>520</v>
      </c>
      <c r="Y126" s="7">
        <f>U126-W126</f>
        <v>0</v>
      </c>
      <c r="Z126" s="7">
        <f>X126+Y126</f>
        <v>520</v>
      </c>
      <c r="AA126" s="22">
        <f>L126-Z126</f>
        <v>0</v>
      </c>
      <c r="AB126" s="73" t="s">
        <v>334</v>
      </c>
      <c r="AC126" s="20"/>
      <c r="AD126" s="20"/>
      <c r="AE126" s="6"/>
      <c r="AF126" s="216"/>
      <c r="AG126" s="19"/>
      <c r="AH126" s="19"/>
      <c r="AI126" s="19"/>
      <c r="AJ126" s="7"/>
      <c r="AK126" s="7"/>
      <c r="AL126" s="7"/>
      <c r="AM126" s="7">
        <f>V126-AL126</f>
        <v>520</v>
      </c>
      <c r="AN126" s="101"/>
      <c r="AO126" s="20"/>
      <c r="AP126" s="20"/>
      <c r="AQ126" s="8"/>
      <c r="AR126" s="19"/>
      <c r="AS126" s="17"/>
      <c r="AT126" s="217"/>
      <c r="AU126" s="71"/>
      <c r="AV126" s="22"/>
      <c r="AW126" s="6"/>
      <c r="AX126" s="7"/>
      <c r="AY126" s="78"/>
      <c r="AZ126" s="20"/>
      <c r="BA126" s="20"/>
      <c r="BB126" s="20"/>
      <c r="BC126" s="19"/>
      <c r="BD126" s="19"/>
      <c r="BE126" s="19"/>
      <c r="BF126" s="20"/>
      <c r="BG126" s="17"/>
      <c r="BH126" s="17"/>
      <c r="BI126" s="179"/>
      <c r="BJ126" s="180"/>
      <c r="BK126" s="180"/>
      <c r="BL126" s="180"/>
      <c r="BM126" s="182"/>
      <c r="BN126" s="182"/>
      <c r="BO126" s="182"/>
      <c r="BP126" s="17"/>
      <c r="BQ126" s="17"/>
      <c r="BR126" s="17"/>
      <c r="BS126" s="183"/>
      <c r="BT126" s="2"/>
      <c r="BU126" s="2"/>
    </row>
    <row r="127" spans="1:73" s="5" customFormat="1" ht="35.1" customHeight="1" x14ac:dyDescent="0.25">
      <c r="A127" s="79"/>
      <c r="B127" s="80" t="s">
        <v>51</v>
      </c>
      <c r="C127" s="81"/>
      <c r="D127" s="82">
        <f>SUM(D123:D126)</f>
        <v>13696</v>
      </c>
      <c r="E127" s="16">
        <f>SUM(E123:E126)</f>
        <v>397</v>
      </c>
      <c r="F127" s="15">
        <f>SUM(F123:F126)</f>
        <v>14093</v>
      </c>
      <c r="G127" s="16"/>
      <c r="H127" s="16"/>
      <c r="I127" s="16"/>
      <c r="J127" s="16">
        <f t="shared" ref="J127:P127" si="244">SUM(J123:J126)</f>
        <v>13696</v>
      </c>
      <c r="K127" s="16">
        <f t="shared" si="244"/>
        <v>397</v>
      </c>
      <c r="L127" s="26">
        <f t="shared" si="244"/>
        <v>14093</v>
      </c>
      <c r="M127" s="83"/>
      <c r="N127" s="82">
        <f t="shared" si="244"/>
        <v>13664</v>
      </c>
      <c r="O127" s="16">
        <f t="shared" si="244"/>
        <v>414</v>
      </c>
      <c r="P127" s="15">
        <f t="shared" si="244"/>
        <v>14078</v>
      </c>
      <c r="Q127" s="16"/>
      <c r="R127" s="16"/>
      <c r="S127" s="16"/>
      <c r="T127" s="16">
        <f t="shared" ref="T127:AA127" si="245">SUM(T123:T126)</f>
        <v>13664</v>
      </c>
      <c r="U127" s="16">
        <f t="shared" si="245"/>
        <v>414</v>
      </c>
      <c r="V127" s="26">
        <f t="shared" si="245"/>
        <v>14078</v>
      </c>
      <c r="W127" s="167">
        <f t="shared" si="245"/>
        <v>17</v>
      </c>
      <c r="X127" s="16">
        <f t="shared" si="245"/>
        <v>13664</v>
      </c>
      <c r="Y127" s="15">
        <f t="shared" si="245"/>
        <v>397</v>
      </c>
      <c r="Z127" s="15">
        <f t="shared" si="245"/>
        <v>14061</v>
      </c>
      <c r="AA127" s="26">
        <f t="shared" si="245"/>
        <v>32</v>
      </c>
      <c r="AB127" s="83"/>
      <c r="AC127" s="16">
        <f>SUM(AC123:AC125)</f>
        <v>11228</v>
      </c>
      <c r="AD127" s="16">
        <f>SUM(AD123:AD125)</f>
        <v>414</v>
      </c>
      <c r="AE127" s="14">
        <f>SUM(AE123:AE125)</f>
        <v>11642</v>
      </c>
      <c r="AF127" s="168">
        <f>SUM(AF123:AF125)</f>
        <v>32</v>
      </c>
      <c r="AG127" s="16"/>
      <c r="AH127" s="16"/>
      <c r="AI127" s="16"/>
      <c r="AJ127" s="16">
        <f>SUM(AJ123:AJ125)</f>
        <v>11228</v>
      </c>
      <c r="AK127" s="16">
        <f>SUM(AK123:AK125)</f>
        <v>382</v>
      </c>
      <c r="AL127" s="16">
        <f>SUM(AL123:AL125)</f>
        <v>11610</v>
      </c>
      <c r="AM127" s="15">
        <f>SUM(AM123:AM126)</f>
        <v>2468</v>
      </c>
      <c r="AN127" s="83"/>
      <c r="AO127" s="16">
        <f>SUM(AO123:AO125)</f>
        <v>12555</v>
      </c>
      <c r="AP127" s="16">
        <f t="shared" ref="AP127:AX127" si="246">SUM(AP123:AP125)</f>
        <v>414</v>
      </c>
      <c r="AQ127" s="16">
        <f t="shared" si="246"/>
        <v>12969</v>
      </c>
      <c r="AR127" s="16"/>
      <c r="AS127" s="16"/>
      <c r="AT127" s="26"/>
      <c r="AU127" s="82">
        <f t="shared" si="246"/>
        <v>12555</v>
      </c>
      <c r="AV127" s="16">
        <f t="shared" si="246"/>
        <v>414</v>
      </c>
      <c r="AW127" s="16">
        <f t="shared" si="246"/>
        <v>12969</v>
      </c>
      <c r="AX127" s="16">
        <f t="shared" si="246"/>
        <v>-1359</v>
      </c>
      <c r="AY127" s="169"/>
      <c r="AZ127" s="16">
        <f t="shared" ref="AZ127:BE127" si="247">SUM(AZ123:AZ125)</f>
        <v>8146</v>
      </c>
      <c r="BA127" s="16">
        <f t="shared" si="247"/>
        <v>414</v>
      </c>
      <c r="BB127" s="16">
        <f t="shared" si="247"/>
        <v>8560</v>
      </c>
      <c r="BC127" s="16">
        <f t="shared" si="247"/>
        <v>0</v>
      </c>
      <c r="BD127" s="16">
        <f t="shared" si="247"/>
        <v>0</v>
      </c>
      <c r="BE127" s="16">
        <f t="shared" si="247"/>
        <v>0</v>
      </c>
      <c r="BF127" s="16">
        <f t="shared" si="192"/>
        <v>8146</v>
      </c>
      <c r="BG127" s="14">
        <f t="shared" si="192"/>
        <v>414</v>
      </c>
      <c r="BH127" s="14">
        <f t="shared" si="192"/>
        <v>8560</v>
      </c>
      <c r="BI127" s="170"/>
      <c r="BJ127" s="171">
        <f>SUM(BJ123:BJ124)</f>
        <v>5846</v>
      </c>
      <c r="BK127" s="171">
        <f>SUM(BK123:BK124)</f>
        <v>414</v>
      </c>
      <c r="BL127" s="171">
        <f>SUM(BL123:BL124)</f>
        <v>6260</v>
      </c>
      <c r="BM127" s="173"/>
      <c r="BN127" s="173"/>
      <c r="BO127" s="173"/>
      <c r="BP127" s="14">
        <f t="shared" si="149"/>
        <v>5846</v>
      </c>
      <c r="BQ127" s="14">
        <f t="shared" si="149"/>
        <v>414</v>
      </c>
      <c r="BR127" s="14">
        <f t="shared" si="149"/>
        <v>6260</v>
      </c>
      <c r="BS127" s="174"/>
      <c r="BT127" s="2"/>
      <c r="BU127" s="2"/>
    </row>
    <row r="128" spans="1:73" ht="35.1" customHeight="1" x14ac:dyDescent="0.25">
      <c r="A128" s="11" t="s">
        <v>214</v>
      </c>
      <c r="B128" s="99" t="s">
        <v>47</v>
      </c>
      <c r="C128" s="74" t="s">
        <v>48</v>
      </c>
      <c r="D128" s="71">
        <v>2070</v>
      </c>
      <c r="E128" s="7">
        <v>188</v>
      </c>
      <c r="F128" s="7">
        <f>SUM(D128:E128)</f>
        <v>2258</v>
      </c>
      <c r="G128" s="6">
        <f>D128*10%</f>
        <v>207</v>
      </c>
      <c r="H128" s="6">
        <f>E128*5%</f>
        <v>9.4</v>
      </c>
      <c r="I128" s="6">
        <f>SUM(G128:H128)</f>
        <v>216.4</v>
      </c>
      <c r="J128" s="7">
        <f t="shared" ref="J128:L128" si="248">D128-G128</f>
        <v>1863</v>
      </c>
      <c r="K128" s="6">
        <f t="shared" si="248"/>
        <v>178.6</v>
      </c>
      <c r="L128" s="6">
        <f t="shared" si="248"/>
        <v>2041.6</v>
      </c>
      <c r="M128" s="72"/>
      <c r="N128" s="71">
        <v>2070</v>
      </c>
      <c r="O128" s="7">
        <v>196</v>
      </c>
      <c r="P128" s="7">
        <f>SUM(N128:O128)</f>
        <v>2266</v>
      </c>
      <c r="Q128" s="6">
        <f>N128*10%</f>
        <v>207</v>
      </c>
      <c r="R128" s="6">
        <f>O128*5%</f>
        <v>9.8000000000000007</v>
      </c>
      <c r="S128" s="6">
        <f>SUM(Q128:R128)</f>
        <v>216.8</v>
      </c>
      <c r="T128" s="7">
        <f t="shared" ref="T128:V128" si="249">N128-Q128</f>
        <v>1863</v>
      </c>
      <c r="U128" s="6">
        <f t="shared" si="249"/>
        <v>186.2</v>
      </c>
      <c r="V128" s="6">
        <f t="shared" si="249"/>
        <v>2049.1999999999998</v>
      </c>
      <c r="W128" s="160">
        <v>7</v>
      </c>
      <c r="X128" s="8">
        <f>T128</f>
        <v>1863</v>
      </c>
      <c r="Y128" s="7">
        <f>U128-W128</f>
        <v>179.2</v>
      </c>
      <c r="Z128" s="7">
        <f>X128+Y128</f>
        <v>2042.2</v>
      </c>
      <c r="AA128" s="7">
        <v>0</v>
      </c>
      <c r="AB128" s="96"/>
      <c r="AC128" s="8">
        <v>2070</v>
      </c>
      <c r="AD128" s="7">
        <v>196</v>
      </c>
      <c r="AE128" s="6">
        <f>SUM(AC128:AD128)</f>
        <v>2266</v>
      </c>
      <c r="AF128" s="161">
        <v>15</v>
      </c>
      <c r="AG128" s="22">
        <v>207</v>
      </c>
      <c r="AH128" s="6">
        <v>9</v>
      </c>
      <c r="AI128" s="6">
        <f>SUM(AG128:AH128)</f>
        <v>216</v>
      </c>
      <c r="AJ128" s="7">
        <f>AC128-AG128</f>
        <v>1863</v>
      </c>
      <c r="AK128" s="6">
        <f>AD128-AH128-AF128</f>
        <v>172</v>
      </c>
      <c r="AL128" s="6">
        <f>AE128-AI128-AF128</f>
        <v>2035</v>
      </c>
      <c r="AM128" s="6">
        <f>V128-AL128</f>
        <v>14.199999999999818</v>
      </c>
      <c r="AN128" s="72"/>
      <c r="AO128" s="8">
        <v>2070</v>
      </c>
      <c r="AP128" s="7">
        <v>196</v>
      </c>
      <c r="AQ128" s="7">
        <f>SUM(AO128:AP128)</f>
        <v>2266</v>
      </c>
      <c r="AR128" s="6">
        <f>AO128*10%</f>
        <v>207</v>
      </c>
      <c r="AS128" s="6">
        <f>AP128*5%</f>
        <v>9.8000000000000007</v>
      </c>
      <c r="AT128" s="6">
        <f>SUM(AR128:AS128)</f>
        <v>216.8</v>
      </c>
      <c r="AU128" s="71">
        <f>AO128-AR128</f>
        <v>1863</v>
      </c>
      <c r="AV128" s="6">
        <f>AP128-AS128</f>
        <v>186.2</v>
      </c>
      <c r="AW128" s="6">
        <f>AQ128-AT128</f>
        <v>2049.1999999999998</v>
      </c>
      <c r="AX128" s="6">
        <f>AL128-AW128</f>
        <v>-14.199999999999818</v>
      </c>
      <c r="AY128" s="73"/>
      <c r="AZ128" s="8">
        <v>2070</v>
      </c>
      <c r="BA128" s="7">
        <v>196</v>
      </c>
      <c r="BB128" s="7">
        <f>SUM(AZ128:BA128)</f>
        <v>2266</v>
      </c>
      <c r="BC128" s="6">
        <v>207</v>
      </c>
      <c r="BD128" s="6">
        <v>10</v>
      </c>
      <c r="BE128" s="6">
        <f>SUM(BC128:BD128)</f>
        <v>217</v>
      </c>
      <c r="BF128" s="7">
        <f t="shared" si="192"/>
        <v>1863</v>
      </c>
      <c r="BG128" s="6">
        <f t="shared" si="192"/>
        <v>186</v>
      </c>
      <c r="BH128" s="6">
        <f t="shared" si="192"/>
        <v>2049</v>
      </c>
      <c r="BI128" s="162"/>
      <c r="BJ128" s="163">
        <v>1863</v>
      </c>
      <c r="BK128" s="164">
        <v>186</v>
      </c>
      <c r="BL128" s="164">
        <f>SUM(BJ128:BK128)</f>
        <v>2049</v>
      </c>
      <c r="BM128" s="165">
        <v>207</v>
      </c>
      <c r="BN128" s="165">
        <v>10</v>
      </c>
      <c r="BO128" s="165">
        <f>SUM(BM128:BN128)</f>
        <v>217</v>
      </c>
      <c r="BP128" s="6">
        <f t="shared" si="149"/>
        <v>2070</v>
      </c>
      <c r="BQ128" s="6">
        <f t="shared" si="149"/>
        <v>196</v>
      </c>
      <c r="BR128" s="6">
        <f t="shared" si="149"/>
        <v>2266</v>
      </c>
      <c r="BS128" s="166"/>
      <c r="BT128" s="2"/>
      <c r="BU128" s="2"/>
    </row>
    <row r="129" spans="1:73" s="5" customFormat="1" ht="35.1" customHeight="1" x14ac:dyDescent="0.25">
      <c r="A129" s="109"/>
      <c r="B129" s="110" t="s">
        <v>49</v>
      </c>
      <c r="C129" s="111"/>
      <c r="D129" s="112">
        <f t="shared" ref="D129:L129" si="250">SUM(D128:D128)</f>
        <v>2070</v>
      </c>
      <c r="E129" s="113">
        <f t="shared" si="250"/>
        <v>188</v>
      </c>
      <c r="F129" s="114">
        <f t="shared" si="250"/>
        <v>2258</v>
      </c>
      <c r="G129" s="114">
        <f t="shared" si="250"/>
        <v>207</v>
      </c>
      <c r="H129" s="114">
        <f t="shared" si="250"/>
        <v>9.4</v>
      </c>
      <c r="I129" s="15">
        <f t="shared" si="250"/>
        <v>216.4</v>
      </c>
      <c r="J129" s="114">
        <f t="shared" si="250"/>
        <v>1863</v>
      </c>
      <c r="K129" s="114">
        <f t="shared" si="250"/>
        <v>178.6</v>
      </c>
      <c r="L129" s="15">
        <f t="shared" si="250"/>
        <v>2041.6</v>
      </c>
      <c r="M129" s="115"/>
      <c r="N129" s="112">
        <f t="shared" ref="N129:AA129" si="251">SUM(N128:N128)</f>
        <v>2070</v>
      </c>
      <c r="O129" s="113">
        <f t="shared" si="251"/>
        <v>196</v>
      </c>
      <c r="P129" s="114">
        <f t="shared" si="251"/>
        <v>2266</v>
      </c>
      <c r="Q129" s="114">
        <f t="shared" si="251"/>
        <v>207</v>
      </c>
      <c r="R129" s="114">
        <f t="shared" si="251"/>
        <v>9.8000000000000007</v>
      </c>
      <c r="S129" s="114">
        <f t="shared" si="251"/>
        <v>216.8</v>
      </c>
      <c r="T129" s="114">
        <f t="shared" si="251"/>
        <v>1863</v>
      </c>
      <c r="U129" s="114">
        <f t="shared" si="251"/>
        <v>186.2</v>
      </c>
      <c r="V129" s="114">
        <f t="shared" si="251"/>
        <v>2049.1999999999998</v>
      </c>
      <c r="W129" s="218">
        <f t="shared" si="251"/>
        <v>7</v>
      </c>
      <c r="X129" s="16">
        <f t="shared" si="251"/>
        <v>1863</v>
      </c>
      <c r="Y129" s="15">
        <f t="shared" si="251"/>
        <v>179.2</v>
      </c>
      <c r="Z129" s="15">
        <f t="shared" si="251"/>
        <v>2042.2</v>
      </c>
      <c r="AA129" s="113">
        <f t="shared" si="251"/>
        <v>0</v>
      </c>
      <c r="AB129" s="115"/>
      <c r="AC129" s="219">
        <f t="shared" ref="AC129:AL129" si="252">SUM(AC128)</f>
        <v>2070</v>
      </c>
      <c r="AD129" s="113">
        <f t="shared" si="252"/>
        <v>196</v>
      </c>
      <c r="AE129" s="114">
        <f t="shared" si="252"/>
        <v>2266</v>
      </c>
      <c r="AF129" s="220">
        <f t="shared" si="252"/>
        <v>15</v>
      </c>
      <c r="AG129" s="221">
        <f t="shared" si="252"/>
        <v>207</v>
      </c>
      <c r="AH129" s="114">
        <f t="shared" si="252"/>
        <v>9</v>
      </c>
      <c r="AI129" s="114">
        <f t="shared" si="252"/>
        <v>216</v>
      </c>
      <c r="AJ129" s="114">
        <f t="shared" si="252"/>
        <v>1863</v>
      </c>
      <c r="AK129" s="114">
        <f t="shared" si="252"/>
        <v>172</v>
      </c>
      <c r="AL129" s="114">
        <f t="shared" si="252"/>
        <v>2035</v>
      </c>
      <c r="AM129" s="114">
        <f>SUM(AM128:AM128)</f>
        <v>14.199999999999818</v>
      </c>
      <c r="AN129" s="222"/>
      <c r="AO129" s="219">
        <f t="shared" ref="AO129:AX129" si="253">SUM(AO128)</f>
        <v>2070</v>
      </c>
      <c r="AP129" s="113">
        <f t="shared" si="253"/>
        <v>196</v>
      </c>
      <c r="AQ129" s="113">
        <f t="shared" si="253"/>
        <v>2266</v>
      </c>
      <c r="AR129" s="114">
        <f t="shared" si="253"/>
        <v>207</v>
      </c>
      <c r="AS129" s="114">
        <f t="shared" si="253"/>
        <v>9.8000000000000007</v>
      </c>
      <c r="AT129" s="114">
        <f t="shared" si="253"/>
        <v>216.8</v>
      </c>
      <c r="AU129" s="223">
        <f t="shared" si="253"/>
        <v>1863</v>
      </c>
      <c r="AV129" s="114">
        <f t="shared" si="253"/>
        <v>186.2</v>
      </c>
      <c r="AW129" s="114">
        <f t="shared" si="253"/>
        <v>2049.1999999999998</v>
      </c>
      <c r="AX129" s="114">
        <f t="shared" si="253"/>
        <v>-14.199999999999818</v>
      </c>
      <c r="AY129" s="224"/>
      <c r="AZ129" s="219">
        <f t="shared" ref="AZ129:BE129" si="254">SUM(AZ128)</f>
        <v>2070</v>
      </c>
      <c r="BA129" s="113">
        <f t="shared" si="254"/>
        <v>196</v>
      </c>
      <c r="BB129" s="113">
        <f t="shared" si="254"/>
        <v>2266</v>
      </c>
      <c r="BC129" s="114">
        <f t="shared" si="254"/>
        <v>207</v>
      </c>
      <c r="BD129" s="114">
        <f t="shared" si="254"/>
        <v>10</v>
      </c>
      <c r="BE129" s="114">
        <f t="shared" si="254"/>
        <v>217</v>
      </c>
      <c r="BF129" s="113">
        <f t="shared" si="192"/>
        <v>1863</v>
      </c>
      <c r="BG129" s="114">
        <f t="shared" si="192"/>
        <v>186</v>
      </c>
      <c r="BH129" s="114">
        <f t="shared" si="192"/>
        <v>2049</v>
      </c>
      <c r="BI129" s="225"/>
      <c r="BJ129" s="226">
        <f t="shared" ref="BJ129:BO129" si="255">SUM(BJ128)</f>
        <v>1863</v>
      </c>
      <c r="BK129" s="227">
        <f t="shared" si="255"/>
        <v>186</v>
      </c>
      <c r="BL129" s="227">
        <f t="shared" si="255"/>
        <v>2049</v>
      </c>
      <c r="BM129" s="228">
        <f t="shared" si="255"/>
        <v>207</v>
      </c>
      <c r="BN129" s="228">
        <f t="shared" si="255"/>
        <v>10</v>
      </c>
      <c r="BO129" s="228">
        <f t="shared" si="255"/>
        <v>217</v>
      </c>
      <c r="BP129" s="114">
        <f t="shared" si="149"/>
        <v>2070</v>
      </c>
      <c r="BQ129" s="114">
        <f t="shared" si="149"/>
        <v>196</v>
      </c>
      <c r="BR129" s="114">
        <f t="shared" si="149"/>
        <v>2266</v>
      </c>
      <c r="BS129" s="229"/>
      <c r="BT129" s="2"/>
      <c r="BU129" s="2"/>
    </row>
    <row r="130" spans="1:73" s="116" customFormat="1" ht="120" customHeight="1" x14ac:dyDescent="0.25">
      <c r="A130" s="88" t="s">
        <v>228</v>
      </c>
      <c r="B130" s="97" t="s">
        <v>215</v>
      </c>
      <c r="C130" s="133" t="s">
        <v>216</v>
      </c>
      <c r="D130" s="87">
        <v>1600</v>
      </c>
      <c r="E130" s="19"/>
      <c r="F130" s="19">
        <f>D130+E130</f>
        <v>1600</v>
      </c>
      <c r="G130" s="19"/>
      <c r="H130" s="17"/>
      <c r="I130" s="19">
        <f>G130+H130</f>
        <v>0</v>
      </c>
      <c r="J130" s="19">
        <f>D130-G130</f>
        <v>1600</v>
      </c>
      <c r="K130" s="19">
        <f>E130-H130</f>
        <v>0</v>
      </c>
      <c r="L130" s="17">
        <f>F130-I130</f>
        <v>1600</v>
      </c>
      <c r="M130" s="279" t="s">
        <v>394</v>
      </c>
      <c r="N130" s="19">
        <v>3500</v>
      </c>
      <c r="O130" s="19"/>
      <c r="P130" s="19">
        <f>N130+O130</f>
        <v>3500</v>
      </c>
      <c r="Q130" s="19"/>
      <c r="R130" s="19"/>
      <c r="S130" s="19">
        <f>Q130+R130</f>
        <v>0</v>
      </c>
      <c r="T130" s="19">
        <f>N130-Q130</f>
        <v>3500</v>
      </c>
      <c r="U130" s="19">
        <f>O130-R130</f>
        <v>0</v>
      </c>
      <c r="V130" s="17">
        <f>P130-S130</f>
        <v>3500</v>
      </c>
      <c r="W130" s="177"/>
      <c r="X130" s="20">
        <f>T130</f>
        <v>3500</v>
      </c>
      <c r="Y130" s="19">
        <f>U130-W130</f>
        <v>0</v>
      </c>
      <c r="Z130" s="19">
        <f>X130+Y130</f>
        <v>3500</v>
      </c>
      <c r="AA130" s="19">
        <f>L130-Z130</f>
        <v>-1900</v>
      </c>
      <c r="AB130" s="106" t="s">
        <v>335</v>
      </c>
      <c r="AC130" s="20"/>
      <c r="AD130" s="19"/>
      <c r="AE130" s="17"/>
      <c r="AF130" s="230"/>
      <c r="AG130" s="231"/>
      <c r="AH130" s="19"/>
      <c r="AI130" s="19"/>
      <c r="AJ130" s="19"/>
      <c r="AK130" s="19"/>
      <c r="AL130" s="19"/>
      <c r="AM130" s="19">
        <f>V130-AL130</f>
        <v>3500</v>
      </c>
      <c r="AN130" s="178"/>
      <c r="AO130" s="13"/>
      <c r="AP130" s="13"/>
      <c r="AQ130" s="13"/>
      <c r="AR130" s="13"/>
      <c r="AS130" s="13"/>
      <c r="AT130" s="13"/>
      <c r="AU130" s="13"/>
      <c r="AV130" s="13"/>
      <c r="AW130" s="13"/>
      <c r="AX130" s="13"/>
      <c r="AY130" s="232"/>
      <c r="AZ130" s="13"/>
      <c r="BA130" s="13"/>
      <c r="BB130" s="13"/>
      <c r="BC130" s="13"/>
      <c r="BD130" s="13"/>
      <c r="BE130" s="13"/>
      <c r="BF130" s="13"/>
      <c r="BG130" s="13"/>
      <c r="BH130" s="13"/>
      <c r="BI130" s="233"/>
      <c r="BJ130" s="234"/>
      <c r="BK130" s="234"/>
      <c r="BL130" s="234"/>
      <c r="BM130" s="234"/>
      <c r="BN130" s="234"/>
      <c r="BO130" s="234"/>
      <c r="BP130" s="13"/>
      <c r="BQ130" s="13"/>
      <c r="BR130" s="13"/>
      <c r="BS130" s="235"/>
      <c r="BT130" s="236"/>
      <c r="BU130" s="236"/>
    </row>
    <row r="131" spans="1:73" s="116" customFormat="1" ht="26.25" thickBot="1" x14ac:dyDescent="0.3">
      <c r="A131" s="117"/>
      <c r="B131" s="118" t="s">
        <v>217</v>
      </c>
      <c r="C131" s="134"/>
      <c r="D131" s="135">
        <f t="shared" ref="D131:L131" si="256">SUM(D130)</f>
        <v>1600</v>
      </c>
      <c r="E131" s="136">
        <f t="shared" si="256"/>
        <v>0</v>
      </c>
      <c r="F131" s="135">
        <f t="shared" si="256"/>
        <v>1600</v>
      </c>
      <c r="G131" s="119">
        <f t="shared" si="256"/>
        <v>0</v>
      </c>
      <c r="H131" s="120">
        <f t="shared" si="256"/>
        <v>0</v>
      </c>
      <c r="I131" s="137">
        <f t="shared" si="256"/>
        <v>0</v>
      </c>
      <c r="J131" s="120">
        <f t="shared" si="256"/>
        <v>1600</v>
      </c>
      <c r="K131" s="120">
        <f t="shared" si="256"/>
        <v>0</v>
      </c>
      <c r="L131" s="121">
        <f t="shared" si="256"/>
        <v>1600</v>
      </c>
      <c r="M131" s="138"/>
      <c r="N131" s="119">
        <f t="shared" ref="N131:W131" si="257">SUM(N130)</f>
        <v>3500</v>
      </c>
      <c r="O131" s="120">
        <f t="shared" si="257"/>
        <v>0</v>
      </c>
      <c r="P131" s="121">
        <f t="shared" si="257"/>
        <v>3500</v>
      </c>
      <c r="Q131" s="119">
        <f t="shared" si="257"/>
        <v>0</v>
      </c>
      <c r="R131" s="120">
        <f t="shared" si="257"/>
        <v>0</v>
      </c>
      <c r="S131" s="120">
        <f t="shared" si="257"/>
        <v>0</v>
      </c>
      <c r="T131" s="120">
        <f t="shared" si="257"/>
        <v>3500</v>
      </c>
      <c r="U131" s="120">
        <f t="shared" si="257"/>
        <v>0</v>
      </c>
      <c r="V131" s="121">
        <f t="shared" si="257"/>
        <v>3500</v>
      </c>
      <c r="W131" s="237">
        <f t="shared" si="257"/>
        <v>0</v>
      </c>
      <c r="X131" s="238">
        <f>SUM(X130)</f>
        <v>3500</v>
      </c>
      <c r="Y131" s="239">
        <f>SUM(Y130)</f>
        <v>0</v>
      </c>
      <c r="Z131" s="239">
        <f>SUM(Z130)</f>
        <v>3500</v>
      </c>
      <c r="AA131" s="239">
        <f>SUM(AA130)</f>
        <v>-1900</v>
      </c>
      <c r="AB131" s="138"/>
      <c r="AC131" s="240"/>
      <c r="AD131" s="120"/>
      <c r="AE131" s="241"/>
      <c r="AF131" s="242"/>
      <c r="AG131" s="243"/>
      <c r="AH131" s="120"/>
      <c r="AI131" s="120"/>
      <c r="AJ131" s="119"/>
      <c r="AK131" s="120"/>
      <c r="AL131" s="120"/>
      <c r="AM131" s="121">
        <f>SUM(AM130)</f>
        <v>3500</v>
      </c>
      <c r="AN131" s="244"/>
      <c r="AO131" s="245"/>
      <c r="AP131" s="245"/>
      <c r="AQ131" s="245"/>
      <c r="AR131" s="245"/>
      <c r="AS131" s="245"/>
      <c r="AT131" s="13"/>
      <c r="AU131" s="245"/>
      <c r="AV131" s="245"/>
      <c r="AW131" s="245"/>
      <c r="AX131" s="245"/>
      <c r="AY131" s="246"/>
      <c r="AZ131" s="245"/>
      <c r="BA131" s="245"/>
      <c r="BB131" s="245"/>
      <c r="BC131" s="245"/>
      <c r="BD131" s="245"/>
      <c r="BE131" s="245"/>
      <c r="BF131" s="245"/>
      <c r="BG131" s="245"/>
      <c r="BH131" s="245"/>
      <c r="BI131" s="247"/>
      <c r="BJ131" s="248"/>
      <c r="BK131" s="249"/>
      <c r="BL131" s="249"/>
      <c r="BM131" s="250"/>
      <c r="BN131" s="250"/>
      <c r="BO131" s="250"/>
      <c r="BP131" s="251"/>
      <c r="BQ131" s="251"/>
      <c r="BR131" s="251"/>
      <c r="BS131" s="252"/>
      <c r="BT131" s="236"/>
      <c r="BU131" s="236"/>
    </row>
    <row r="132" spans="1:73" s="5" customFormat="1" ht="26.25" thickBot="1" x14ac:dyDescent="0.3">
      <c r="A132" s="139"/>
      <c r="B132" s="140" t="s">
        <v>50</v>
      </c>
      <c r="C132" s="141"/>
      <c r="D132" s="142">
        <f>D16+D25+D34+D51+D57+D59+D64+D77+D83+D90+D97+D100+D105+D112+D117+D120+D122+D127+D129+D131</f>
        <v>631140</v>
      </c>
      <c r="E132" s="123">
        <f>E16+E25+E34+E51+E57+E59+E64+E77+E83+E90+E97+E100+E105+E112+E117+E120+E122+E127+E129+E131</f>
        <v>152828</v>
      </c>
      <c r="F132" s="123">
        <f>F16+F25+F34+F51+F57+F59+F64+F77+F83+F90+F97+F100+F105+F112+F117+F120+F122+F127+F129+F131</f>
        <v>783968</v>
      </c>
      <c r="G132" s="123">
        <f>G16+G25+G34+G51+G57+G59+G64+G77+G83+G90+G97+G100+G105+G112+G117+G120+G122+G127+G129+G131-1</f>
        <v>9755</v>
      </c>
      <c r="H132" s="123">
        <f>H16+H25+H34+H51+H57+H59+H64+H77+H83+H90+H97+H100+H105+H112+H117+H120+H122+H127+H129+H131</f>
        <v>947.85</v>
      </c>
      <c r="I132" s="122">
        <f>I16+I25+I34+I51+I57+I59+I64+I77+I83+I90+I97+I100+I105+I112+I117+I120+I122+I127+I129+I131+1</f>
        <v>10702.849999999999</v>
      </c>
      <c r="J132" s="123">
        <f>J16+J25+J34+J51+J57+J59+J64+J77+J83+J90+J97+J100+J105+J112+J117+J120+J122+J127+J129+J131+1</f>
        <v>621385</v>
      </c>
      <c r="K132" s="123">
        <f>K16+K25+K34+K51+K57+K59+K64+K77+K83+K90+K97+K100+K105+K112+K117+K120+K122+K127+K129+K131</f>
        <v>151880.15</v>
      </c>
      <c r="L132" s="123">
        <f>L16+L25+L34+L51+L57+L59+L64+L77+L83+L90+L97+L100+L105+L112+L117+L120+L122+L127+L129+L131+1</f>
        <v>773265.14999999991</v>
      </c>
      <c r="M132" s="124"/>
      <c r="N132" s="253" t="e">
        <f>N16+N25+N34+N51+N57+N59+N64+N77+N83+N90+N97+N100+N105+N112+N117+N120+#REF!+N122+N127+#REF!+N129+N131</f>
        <v>#REF!</v>
      </c>
      <c r="O132" s="122" t="e">
        <f>O16+O25+O34+O51+O57+O59+O64+O77+O83+O90+O97+O100+O105+O112+O117+O120+#REF!+O122+O127+#REF!+O129+O131</f>
        <v>#REF!</v>
      </c>
      <c r="P132" s="254" t="e">
        <f>P16+P25+P34+P51+P57+P59+P64+P77+P83+P90+P97+P100+P105+P112+P117+P120+#REF!+P122+P127+#REF!+P129+P131</f>
        <v>#REF!</v>
      </c>
      <c r="Q132" s="255" t="e">
        <f>Q16+Q25+Q34+Q51+Q57+Q59+Q64+Q77+Q83+Q90+Q97+Q100+Q105+Q112+Q117+Q120+#REF!+Q122+Q127+#REF!+Q129+Q131+1</f>
        <v>#REF!</v>
      </c>
      <c r="R132" s="122" t="e">
        <f>R16+R25+R34+R51+R57+R59+R64+R77+R83+R90+R97+R100+R105+R112+R117+R120+#REF!+R122+R127+#REF!+R129+R131</f>
        <v>#REF!</v>
      </c>
      <c r="S132" s="122" t="e">
        <f>S16+S25+S34+S51+S57+S59+S64+S77+S83+S90+S97+S100+S105+S112+S117+S120+#REF!+S122+S127+#REF!+S129+S131-1</f>
        <v>#REF!</v>
      </c>
      <c r="T132" s="122" t="e">
        <f>T16+T25+T34+T51+T57+T59+T64+T77+T83+T90+T97+T100+T105+T112+T117+T120+#REF!+T122+T127+#REF!+T129+T131</f>
        <v>#REF!</v>
      </c>
      <c r="U132" s="122" t="e">
        <f>U16+U25+U34+U51+U57+U59+U64+U77+U83+U90+U97+U100+U105+U112+U117+U120+#REF!+U122+U127+#REF!+U129+U131+1</f>
        <v>#REF!</v>
      </c>
      <c r="V132" s="254" t="e">
        <f>V16+V25+V34+V51+V57+V59+V64+V77+V83+V90+V97+V100+V105+V112+V117+V120+#REF!+V122+V127+#REF!+V129+V131+1</f>
        <v>#REF!</v>
      </c>
      <c r="W132" s="256" t="e">
        <f>W16+W25+W34+W51+W57+W59+W64+W77+W83+W90+W97+W100+W105+W112+W117+W120+#REF!+W122+W127+#REF!+W129+W131+#REF!</f>
        <v>#REF!</v>
      </c>
      <c r="X132" s="240" t="e">
        <f>X16+X25+X34+X51+X57+X59+X64+X77+X83+X90+X97+X100+X105+X112+X117+X120+#REF!+X122+X127+#REF!+X129+X131+#REF!</f>
        <v>#REF!</v>
      </c>
      <c r="Y132" s="123" t="e">
        <f>Y16+Y25+Y34+Y51+Y57+Y59+Y64+Y77+Y83+Y90+Y97+Y100+Y105+Y112+Y117+Y120+#REF!+Y122+Y127+#REF!+Y129+Y131+#REF!+1</f>
        <v>#REF!</v>
      </c>
      <c r="Z132" s="123" t="e">
        <f>Z16+Z25+Z34+Z51+Z57+Z59+Z64+Z77+Z83+Z90+Z97+Z100+Z105+Z112+Z117+Z120+#REF!+Z122+Z127+#REF!+Z129+Z131+#REF!+1</f>
        <v>#REF!</v>
      </c>
      <c r="AA132" s="123" t="e">
        <f>AA16+AA25+AA34+AA51+AA57+AA59+AA64+AA77+AA83+AA90+AA97+AA100+AA105+AA112+AA117+AA120+#REF!+AA122+AA127+#REF!+AA129+AA131+#REF!-1</f>
        <v>#REF!</v>
      </c>
      <c r="AB132" s="257"/>
      <c r="AC132" s="258" t="e">
        <f>AC16+AC25+AC34+AC51+AC57+AC59+AC64+AC77+AC83+AC90+AC97+AC100+AC105+AC112+AC117+AC120+#REF!+AC122+AC127+#REF!+AC129</f>
        <v>#REF!</v>
      </c>
      <c r="AD132" s="258" t="e">
        <f>AD16+AD25+AD34+AD51+AD57+AD59+AD64+AD77+AD83+AD90+AD97+AD100+AD105+AD112+AD117+AD120+#REF!+AD122+AD127+#REF!+AD129</f>
        <v>#REF!</v>
      </c>
      <c r="AE132" s="259" t="e">
        <f>AE16+AE25+AE34+AE51+AE57+AE59+AE64+AE77+AE83+AE90+AE97+AE100+AE105+AE112+AE117+AE120+#REF!+AE122+AE127+#REF!+AE129</f>
        <v>#REF!</v>
      </c>
      <c r="AF132" s="260" t="e">
        <f>AF16+AF25+AF34+AF51+AF57+AF59+AF64+AF77+AF83+AF90+AF97+AF100+AF105+AF112+AF117+AF120+#REF!+AF122+AF127+#REF!+AF129</f>
        <v>#REF!</v>
      </c>
      <c r="AG132" s="258" t="e">
        <f>AG16+AG25+AG34+AG51+AG57+AG59+AG64+AG77+AG83+AG90+AG97+AG100+AG105+AG112+AG117+AG120+#REF!+AG122+AG127+#REF!+AG129</f>
        <v>#REF!</v>
      </c>
      <c r="AH132" s="258" t="e">
        <f>AH16+AH25+AH34+AH51+AH57+AH59+AH64+AH77+AH83+AH90+AH97+AH100+AH105+AH112+AH117+AH120+#REF!+AH122+AH127+#REF!+AH129</f>
        <v>#REF!</v>
      </c>
      <c r="AI132" s="258" t="e">
        <f>AI16+AI25+AI34+AI51+AI57+AI59+AI64+AI77+AI83+AI90+AI97+AI100+AI105+AI112+AI117+AI120+#REF!+AI122+AI127+#REF!+AI129</f>
        <v>#REF!</v>
      </c>
      <c r="AJ132" s="261" t="e">
        <f>AJ16+AJ25+AJ34+AJ51+AJ57+AJ59+AJ64+AJ77+AJ83+AJ90+AJ97+AJ100+AJ105+AJ112+AJ117+AJ120+#REF!+AJ122+AJ127+#REF!+AJ129</f>
        <v>#REF!</v>
      </c>
      <c r="AK132" s="258" t="e">
        <f>AK16+AK25+AK34+AK51+AK57+AK59+AK64+AK77+AK83+AK90+AK97+AK100+AK105+AK112+AK117+AK120+#REF!+AK122+AK127+#REF!+AK129</f>
        <v>#REF!</v>
      </c>
      <c r="AL132" s="258" t="e">
        <f>AL16+AL25+AL34+AL51+AL57+AL59+AL64+AL77+AL83+AL90+AL97+AL100+AL105+AL112+AL117+AL120+#REF!+AL122+AL127+#REF!+AL129</f>
        <v>#REF!</v>
      </c>
      <c r="AM132" s="259" t="e">
        <f>AM16+AM25+AM34+AM51+AM57+AM59+AM64+AM77+AM83+AM90+AM97+AM100+AM105+AM112+AM117+AM120+#REF!+AM122+AM127+AM129+AM131+1</f>
        <v>#REF!</v>
      </c>
      <c r="AN132" s="262"/>
      <c r="AO132" s="263" t="e">
        <f>AO16+AO25+AO34+AO51+AO57+AO59+AO64+AO77+AO83+AO90+AO97+AO100+AO105+AO112+AO117+AO120+#REF!+AO122+AO127+#REF!+AO129</f>
        <v>#REF!</v>
      </c>
      <c r="AP132" s="263" t="e">
        <f>AP16+AP25+AP34+AP51+AP57+AP59+AP64+AP77+AP83+AP90+AP97+AP100+AP105+AP112+AP117+AP120+#REF!+AP122+AP127+#REF!+AP129</f>
        <v>#REF!</v>
      </c>
      <c r="AQ132" s="263" t="e">
        <f>AQ16+AQ25+AQ34+AQ51+AQ57+AQ59+AQ64+AQ77+AQ83+AQ90+AQ97+AQ100+AQ105+AQ112+AQ117+AQ120+#REF!+AQ122+AQ127+#REF!+AQ129</f>
        <v>#REF!</v>
      </c>
      <c r="AR132" s="263" t="e">
        <f>AR16+AR25+AR34+AR51+AR57+AR59+AR64+AR77+AR83+AR90+AR97+AR100+AR105+AR112+AR117+AR120+#REF!+AR122+AR127+#REF!+AR129</f>
        <v>#REF!</v>
      </c>
      <c r="AS132" s="263" t="e">
        <f>AS16+AS25+AS34+AS51+AS57+AS59+AS64+AS77+AS83+AS90+AS97+AS100+AS105+AS112+AS117+AS120+#REF!+AS122+AS127+#REF!+AS129</f>
        <v>#REF!</v>
      </c>
      <c r="AT132" s="125" t="e">
        <f>AT16+AT25+AT34+AT51+AT57+AT59+AT64+AT77+AT83+AT90+AT97+AT100+AT105+AT112+AT117+AT120+#REF!+AT122+AT127+#REF!+AT129+1</f>
        <v>#REF!</v>
      </c>
      <c r="AU132" s="264" t="e">
        <f>AU16+AU25+AU34+AU51+AU57+AU59+AU64+AU77+AU83+AU90+AU97+AU100+AU105+AU112+AU117+AU120+#REF!+AU122+AU127+#REF!+AU129+1</f>
        <v>#REF!</v>
      </c>
      <c r="AV132" s="265" t="e">
        <f>AV16+AV25+AV34+AV51+AV57+AV59+AV64+AV77+AV83+AV90+AV97+AV100+AV105+AV112+AV117+AV120+#REF!+AV122+AV127+#REF!+AV129+1</f>
        <v>#REF!</v>
      </c>
      <c r="AW132" s="265" t="e">
        <f>AW16+AW25+AW34+AW51+AW57+AW59+AW64+AW77+AW83+AW90+AW97+AW100+AW105+AW112+AW117+AW120+#REF!+AW122+AW127+#REF!+AW129</f>
        <v>#REF!</v>
      </c>
      <c r="AX132" s="265" t="e">
        <f>AX16+AX25+AX34+AX51+AX57+AX59+AX64+AX77+AX83+AX90+AX97+AX100+AX105+AX112+AX117+AX120+#REF!+AX122+AX127+#REF!+AX129+1</f>
        <v>#REF!</v>
      </c>
      <c r="AY132" s="266"/>
      <c r="AZ132" s="263" t="e">
        <f>AZ16+AZ25+AZ34+AZ51+AZ57+AZ59+AZ64+AZ77+AZ83+AZ90+AZ97+AZ100+AZ105+AZ112+AZ117+AZ120+#REF!+AZ122+AZ127+#REF!+AZ129</f>
        <v>#REF!</v>
      </c>
      <c r="BA132" s="263" t="e">
        <f>BA16+BA25+BA34+BA51+BA57+BA59+BA64+BA77+BA83+BA90+BA97+BA100+BA105+BA112+BA117+BA120+#REF!+BA122+BA127+#REF!+BA129</f>
        <v>#REF!</v>
      </c>
      <c r="BB132" s="263" t="e">
        <f>BB16+BB25+BB34+BB51+BB57+BB59+BB64+BB77+BB83+BB90+BB97+BB100+BB105+BB112+BB117+BB120+#REF!+BB122+BB127+#REF!+BB129</f>
        <v>#REF!</v>
      </c>
      <c r="BC132" s="263" t="e">
        <f>BC16+BC25+BC34+BC51+BC57+BC59+BC64+BC77+BC83+BC90+BC97+BC100+BC105+BC112+BC117+BC120+#REF!+BC122+BC127+#REF!+BC129</f>
        <v>#REF!</v>
      </c>
      <c r="BD132" s="263" t="e">
        <f>BD16+BD25+BD34+BD51+BD57+BD59+BD64+BD77+BD83+BD90+BD97+BD100+BD105+BD112+BD117+BD120+#REF!+BD122+BD127+#REF!+BD129</f>
        <v>#REF!</v>
      </c>
      <c r="BE132" s="263" t="e">
        <f>BE16+BE25+BE34+BE51+BE57+BE59+BE64+BE77+BE83+BE90+BE97+BE100+BE105+BE112+BE117+BE120+#REF!+BE122+BE127+#REF!+BE129</f>
        <v>#REF!</v>
      </c>
      <c r="BF132" s="263" t="e">
        <f>BF16+BF25+BF34+BF51+BF57+BF59+BF64+BF77+BF83+BF90+BF97+BF100+BF105+BF112+BF117+BF120+#REF!+BF122+BF127+#REF!+BF129</f>
        <v>#REF!</v>
      </c>
      <c r="BG132" s="263" t="e">
        <f>BG16+BG25+BG34+BG51+BG57+BG59+BG64+BG77+BG83+BG90+BG97+BG100+BG105+BG112+BG117+BG120+#REF!+BG122+BG127+#REF!+BG129</f>
        <v>#REF!</v>
      </c>
      <c r="BH132" s="263" t="e">
        <f>BH16+BH25+BH34+BH51+BH57+BH59+BH64+BH77+BH83+BH90+BH97+BH100+BH105+BH112+BH117+BH120+#REF!+BH122+BH127+#REF!+BH129</f>
        <v>#REF!</v>
      </c>
      <c r="BI132" s="267"/>
      <c r="BJ132" s="268"/>
      <c r="BK132" s="269"/>
      <c r="BL132" s="269"/>
      <c r="BM132" s="270"/>
      <c r="BN132" s="270"/>
      <c r="BO132" s="270"/>
      <c r="BP132" s="271"/>
      <c r="BQ132" s="271"/>
      <c r="BR132" s="271"/>
      <c r="BS132" s="272"/>
      <c r="BT132" s="2"/>
      <c r="BU132" s="2"/>
    </row>
    <row r="133" spans="1:73" ht="31.5" customHeight="1" x14ac:dyDescent="0.25">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row>
  </sheetData>
  <mergeCells count="43">
    <mergeCell ref="G5:I5"/>
    <mergeCell ref="J5:L5"/>
    <mergeCell ref="M5:M6"/>
    <mergeCell ref="A2:BS2"/>
    <mergeCell ref="A3:BS3"/>
    <mergeCell ref="N5:P5"/>
    <mergeCell ref="Q5:S5"/>
    <mergeCell ref="T5:V5"/>
    <mergeCell ref="W5:W6"/>
    <mergeCell ref="X5:Z5"/>
    <mergeCell ref="AA5:AA6"/>
    <mergeCell ref="AB5:AB6"/>
    <mergeCell ref="AC5:AE5"/>
    <mergeCell ref="AG5:AI5"/>
    <mergeCell ref="AJ5:AL5"/>
    <mergeCell ref="AM5:AM6"/>
    <mergeCell ref="A1:B1"/>
    <mergeCell ref="A5:A6"/>
    <mergeCell ref="B5:B6"/>
    <mergeCell ref="C5:C6"/>
    <mergeCell ref="D5:F5"/>
    <mergeCell ref="AN5:AN6"/>
    <mergeCell ref="AO5:AQ5"/>
    <mergeCell ref="AR5:AT5"/>
    <mergeCell ref="AU5:AW5"/>
    <mergeCell ref="AX5:AX6"/>
    <mergeCell ref="BM5:BO5"/>
    <mergeCell ref="BP5:BR5"/>
    <mergeCell ref="BS5:BS6"/>
    <mergeCell ref="BJ5:BL5"/>
    <mergeCell ref="AY35:AY36"/>
    <mergeCell ref="BI35:BI36"/>
    <mergeCell ref="AZ5:BB5"/>
    <mergeCell ref="BC5:BE5"/>
    <mergeCell ref="BF5:BH5"/>
    <mergeCell ref="BI5:BI6"/>
    <mergeCell ref="AY5:AY6"/>
    <mergeCell ref="A133:Z133"/>
    <mergeCell ref="BI53:BI55"/>
    <mergeCell ref="BI67:BI68"/>
    <mergeCell ref="AY106:AY111"/>
    <mergeCell ref="BI106:BI111"/>
    <mergeCell ref="AY114:AY116"/>
  </mergeCells>
  <phoneticPr fontId="2" type="noConversion"/>
  <pageMargins left="0.31496062992125984" right="0.31496062992125984" top="0.55118110236220474" bottom="0.55118110236220474" header="0.31496062992125984" footer="0.31496062992125984"/>
  <pageSetup paperSize="9" scale="47" fitToHeight="0" orientation="landscape" r:id="rId1"/>
  <headerFooter>
    <oddFooter>&amp;C&amp;P/&amp;N</oddFooter>
  </headerFooter>
  <ignoredErrors>
    <ignoredError sqref="F25 J25:L25 F34 J34 L34 L51 F51 F57 J57:L57 F59:L59 F77 J77:L77 F83 J83:L83 F90 J90:L90 F97:L97 F100:L100 F105:L105 F112 G112:L112 F117 H117:J117 I115 L115 K117:L117 F120:L120 F127:L127 J129:L129 J16:L16"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調查表</vt:lpstr>
      <vt:lpstr>111年度行政單位預算分配表</vt:lpstr>
      <vt:lpstr>'111年度行政單位預算分配表'!Print_Titles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M61PME</dc:creator>
  <cp:lastModifiedBy>陳美樺</cp:lastModifiedBy>
  <cp:lastPrinted>2022-10-19T06:20:32Z</cp:lastPrinted>
  <dcterms:created xsi:type="dcterms:W3CDTF">2014-11-24T08:50:43Z</dcterms:created>
  <dcterms:modified xsi:type="dcterms:W3CDTF">2022-10-19T06:27:49Z</dcterms:modified>
</cp:coreProperties>
</file>